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cex\Documents\DOCUMENTOS ASAMBLE CRM\ASAMBLEA 2024\"/>
    </mc:Choice>
  </mc:AlternateContent>
  <xr:revisionPtr revIDLastSave="0" documentId="13_ncr:1_{E2FDE85F-0350-4AA6-BEB1-CF7490564A28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EJECUCION PRESUPUESTO" sheetId="1" r:id="rId1"/>
    <sheet name="Hoja1" sheetId="8" r:id="rId2"/>
  </sheets>
  <definedNames>
    <definedName name="_xlnm.Print_Titles" localSheetId="0">'EJECUCION PRESUPUESTO'!$1:$4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3" i="1" l="1"/>
  <c r="K72" i="1"/>
  <c r="K71" i="1"/>
  <c r="K70" i="1"/>
  <c r="K69" i="1"/>
  <c r="K68" i="1"/>
  <c r="K67" i="1"/>
  <c r="K66" i="1"/>
  <c r="K65" i="1"/>
  <c r="K62" i="1"/>
  <c r="K61" i="1"/>
  <c r="K60" i="1"/>
  <c r="K59" i="1"/>
  <c r="K58" i="1"/>
  <c r="K57" i="1"/>
  <c r="K56" i="1"/>
  <c r="K55" i="1"/>
  <c r="K54" i="1"/>
  <c r="K53" i="1"/>
  <c r="K52" i="1"/>
  <c r="K45" i="1"/>
  <c r="K44" i="1"/>
  <c r="K43" i="1"/>
  <c r="K42" i="1"/>
  <c r="K39" i="1"/>
  <c r="K38" i="1"/>
  <c r="K34" i="1"/>
  <c r="K31" i="1"/>
  <c r="K30" i="1"/>
  <c r="K25" i="1"/>
  <c r="K24" i="1"/>
  <c r="K23" i="1"/>
  <c r="K20" i="1"/>
  <c r="K19" i="1"/>
  <c r="K18" i="1"/>
  <c r="K17" i="1"/>
  <c r="K16" i="1"/>
  <c r="K15" i="1"/>
  <c r="K14" i="1"/>
  <c r="K13" i="1"/>
  <c r="K12" i="1"/>
  <c r="K9" i="1"/>
  <c r="K6" i="1"/>
  <c r="I10" i="1" l="1"/>
  <c r="L50" i="1"/>
  <c r="I50" i="1"/>
  <c r="G85" i="1" l="1"/>
  <c r="F85" i="1" s="1"/>
  <c r="F86" i="1"/>
  <c r="G86" i="1"/>
  <c r="G87" i="1"/>
  <c r="F87" i="1" s="1"/>
  <c r="F89" i="1" l="1"/>
  <c r="F92" i="1"/>
  <c r="F84" i="1"/>
  <c r="G88" i="1"/>
  <c r="F88" i="1" s="1"/>
  <c r="G89" i="1"/>
  <c r="G90" i="1"/>
  <c r="F90" i="1" s="1"/>
  <c r="G91" i="1"/>
  <c r="F91" i="1" s="1"/>
  <c r="G92" i="1"/>
  <c r="G93" i="1"/>
  <c r="F93" i="1" s="1"/>
  <c r="G94" i="1"/>
  <c r="F94" i="1" s="1"/>
  <c r="G95" i="1"/>
  <c r="F95" i="1" s="1"/>
  <c r="G96" i="1"/>
  <c r="F96" i="1" s="1"/>
  <c r="G84" i="1"/>
  <c r="L77" i="1"/>
  <c r="K74" i="1"/>
  <c r="L74" i="1"/>
  <c r="K63" i="1"/>
  <c r="K78" i="1" s="1"/>
  <c r="K50" i="1"/>
  <c r="K46" i="1"/>
  <c r="L46" i="1"/>
  <c r="L40" i="1"/>
  <c r="K40" i="1"/>
  <c r="L35" i="1"/>
  <c r="K35" i="1"/>
  <c r="L32" i="1"/>
  <c r="K32" i="1"/>
  <c r="L26" i="1"/>
  <c r="K26" i="1"/>
  <c r="L10" i="1"/>
  <c r="K10" i="1"/>
  <c r="J6" i="1"/>
  <c r="J76" i="1"/>
  <c r="J77" i="1" s="1"/>
  <c r="J73" i="1"/>
  <c r="J72" i="1"/>
  <c r="J71" i="1"/>
  <c r="J70" i="1"/>
  <c r="J68" i="1"/>
  <c r="J67" i="1"/>
  <c r="J66" i="1"/>
  <c r="J65" i="1"/>
  <c r="J62" i="1"/>
  <c r="J61" i="1"/>
  <c r="J60" i="1"/>
  <c r="J59" i="1"/>
  <c r="J58" i="1"/>
  <c r="J56" i="1"/>
  <c r="J55" i="1"/>
  <c r="J54" i="1"/>
  <c r="J53" i="1"/>
  <c r="J49" i="1"/>
  <c r="J48" i="1"/>
  <c r="J45" i="1"/>
  <c r="J44" i="1"/>
  <c r="J43" i="1"/>
  <c r="J39" i="1"/>
  <c r="J38" i="1"/>
  <c r="J34" i="1"/>
  <c r="J31" i="1"/>
  <c r="J30" i="1"/>
  <c r="J32" i="1" s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9" i="1"/>
  <c r="J8" i="1"/>
  <c r="I69" i="1"/>
  <c r="J69" i="1" s="1"/>
  <c r="I52" i="1"/>
  <c r="J52" i="1" s="1"/>
  <c r="J57" i="1"/>
  <c r="K27" i="1" l="1"/>
  <c r="K79" i="1" s="1"/>
  <c r="L27" i="1"/>
  <c r="L63" i="1"/>
  <c r="L78" i="1" s="1"/>
  <c r="I42" i="1"/>
  <c r="J42" i="1" s="1"/>
  <c r="L79" i="1" l="1"/>
  <c r="D76" i="1"/>
  <c r="G76" i="1"/>
  <c r="H74" i="1"/>
  <c r="H63" i="1"/>
  <c r="H50" i="1"/>
  <c r="J50" i="1" s="1"/>
  <c r="H46" i="1"/>
  <c r="H40" i="1"/>
  <c r="H35" i="1"/>
  <c r="H32" i="1"/>
  <c r="H26" i="1"/>
  <c r="H10" i="1"/>
  <c r="E6" i="1"/>
  <c r="G6" i="1" s="1"/>
  <c r="G8" i="1"/>
  <c r="G9" i="1"/>
  <c r="F10" i="1"/>
  <c r="E12" i="1"/>
  <c r="G12" i="1" s="1"/>
  <c r="E13" i="1"/>
  <c r="G13" i="1" s="1"/>
  <c r="E14" i="1"/>
  <c r="G14" i="1" s="1"/>
  <c r="E15" i="1"/>
  <c r="G15" i="1" s="1"/>
  <c r="E16" i="1"/>
  <c r="F16" i="1"/>
  <c r="E17" i="1"/>
  <c r="G17" i="1" s="1"/>
  <c r="E18" i="1"/>
  <c r="G18" i="1" s="1"/>
  <c r="E19" i="1"/>
  <c r="G19" i="1" s="1"/>
  <c r="E20" i="1"/>
  <c r="G20" i="1" s="1"/>
  <c r="E21" i="1"/>
  <c r="G21" i="1" s="1"/>
  <c r="E22" i="1"/>
  <c r="G22" i="1" s="1"/>
  <c r="E23" i="1"/>
  <c r="G23" i="1" s="1"/>
  <c r="E24" i="1"/>
  <c r="G24" i="1" s="1"/>
  <c r="E25" i="1"/>
  <c r="G25" i="1" s="1"/>
  <c r="F26" i="1"/>
  <c r="E30" i="1"/>
  <c r="G30" i="1" s="1"/>
  <c r="G32" i="1" s="1"/>
  <c r="G31" i="1"/>
  <c r="F32" i="1"/>
  <c r="G34" i="1"/>
  <c r="E35" i="1"/>
  <c r="F35" i="1"/>
  <c r="E38" i="1"/>
  <c r="G38" i="1" s="1"/>
  <c r="F40" i="1"/>
  <c r="E42" i="1"/>
  <c r="G42" i="1" s="1"/>
  <c r="E43" i="1"/>
  <c r="G43" i="1" s="1"/>
  <c r="E44" i="1"/>
  <c r="G44" i="1" s="1"/>
  <c r="E45" i="1"/>
  <c r="G45" i="1" s="1"/>
  <c r="F46" i="1"/>
  <c r="E48" i="1"/>
  <c r="G48" i="1" s="1"/>
  <c r="E49" i="1"/>
  <c r="G49" i="1" s="1"/>
  <c r="E52" i="1"/>
  <c r="G52" i="1" s="1"/>
  <c r="E54" i="1"/>
  <c r="G54" i="1" s="1"/>
  <c r="E55" i="1"/>
  <c r="G55" i="1" s="1"/>
  <c r="E56" i="1"/>
  <c r="G56" i="1" s="1"/>
  <c r="E57" i="1"/>
  <c r="F57" i="1"/>
  <c r="F63" i="1" s="1"/>
  <c r="E58" i="1"/>
  <c r="G58" i="1" s="1"/>
  <c r="G59" i="1"/>
  <c r="E60" i="1"/>
  <c r="G60" i="1" s="1"/>
  <c r="G61" i="1"/>
  <c r="G62" i="1"/>
  <c r="E65" i="1"/>
  <c r="G65" i="1" s="1"/>
  <c r="E66" i="1"/>
  <c r="G66" i="1" s="1"/>
  <c r="F67" i="1"/>
  <c r="F74" i="1" s="1"/>
  <c r="E68" i="1"/>
  <c r="G68" i="1" s="1"/>
  <c r="E69" i="1"/>
  <c r="G69" i="1" s="1"/>
  <c r="E70" i="1"/>
  <c r="G70" i="1" s="1"/>
  <c r="E71" i="1"/>
  <c r="G71" i="1" s="1"/>
  <c r="E72" i="1"/>
  <c r="G72" i="1" s="1"/>
  <c r="E73" i="1"/>
  <c r="G73" i="1" s="1"/>
  <c r="F77" i="1"/>
  <c r="E10" i="1" l="1"/>
  <c r="G10" i="1" s="1"/>
  <c r="E50" i="1"/>
  <c r="G50" i="1" s="1"/>
  <c r="E46" i="1"/>
  <c r="G46" i="1" s="1"/>
  <c r="E32" i="1"/>
  <c r="G16" i="1"/>
  <c r="H27" i="1"/>
  <c r="G77" i="1"/>
  <c r="G57" i="1"/>
  <c r="E77" i="1"/>
  <c r="F78" i="1"/>
  <c r="F27" i="1"/>
  <c r="E26" i="1"/>
  <c r="E27" i="1" l="1"/>
  <c r="G27" i="1" s="1"/>
  <c r="F79" i="1"/>
  <c r="G26" i="1"/>
  <c r="C52" i="1"/>
  <c r="D52" i="1" s="1"/>
  <c r="B53" i="1"/>
  <c r="C54" i="1"/>
  <c r="D54" i="1" s="1"/>
  <c r="D55" i="1"/>
  <c r="D56" i="1"/>
  <c r="C57" i="1"/>
  <c r="D57" i="1" s="1"/>
  <c r="D58" i="1"/>
  <c r="D59" i="1"/>
  <c r="D60" i="1"/>
  <c r="D53" i="1" l="1"/>
  <c r="E53" i="1"/>
  <c r="G53" i="1" l="1"/>
  <c r="E63" i="1"/>
  <c r="G63" i="1" s="1"/>
  <c r="I77" i="1" l="1"/>
  <c r="I74" i="1"/>
  <c r="J74" i="1" s="1"/>
  <c r="I63" i="1"/>
  <c r="I46" i="1"/>
  <c r="J46" i="1" s="1"/>
  <c r="I40" i="1"/>
  <c r="J40" i="1" s="1"/>
  <c r="I35" i="1"/>
  <c r="I32" i="1"/>
  <c r="I26" i="1"/>
  <c r="J26" i="1" s="1"/>
  <c r="J10" i="1"/>
  <c r="J63" i="1" l="1"/>
  <c r="I78" i="1"/>
  <c r="J78" i="1"/>
  <c r="I27" i="1"/>
  <c r="J27" i="1" s="1"/>
  <c r="I79" i="1" l="1"/>
  <c r="B10" i="1" l="1"/>
  <c r="B26" i="1"/>
  <c r="B32" i="1"/>
  <c r="B35" i="1"/>
  <c r="B39" i="1"/>
  <c r="B46" i="1"/>
  <c r="B50" i="1"/>
  <c r="B63" i="1"/>
  <c r="B67" i="1"/>
  <c r="B77" i="1"/>
  <c r="B74" i="1" l="1"/>
  <c r="E67" i="1"/>
  <c r="B40" i="1"/>
  <c r="B78" i="1" s="1"/>
  <c r="E39" i="1"/>
  <c r="B27" i="1"/>
  <c r="G39" i="1" l="1"/>
  <c r="E40" i="1"/>
  <c r="G40" i="1" s="1"/>
  <c r="G67" i="1"/>
  <c r="E74" i="1"/>
  <c r="B79" i="1"/>
  <c r="G74" i="1" l="1"/>
  <c r="G78" i="1" s="1"/>
  <c r="E78" i="1"/>
  <c r="E79" i="1" s="1"/>
  <c r="D9" i="1"/>
  <c r="C10" i="1"/>
  <c r="D8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6" i="1"/>
  <c r="C50" i="1" l="1"/>
  <c r="D68" i="1" l="1"/>
  <c r="D49" i="1"/>
  <c r="C44" i="1"/>
  <c r="C26" i="1"/>
  <c r="D10" i="1"/>
  <c r="C63" i="1" l="1"/>
  <c r="D26" i="1"/>
  <c r="D73" i="1" l="1"/>
  <c r="D66" i="1"/>
  <c r="D67" i="1"/>
  <c r="D69" i="1"/>
  <c r="D70" i="1"/>
  <c r="D71" i="1"/>
  <c r="D72" i="1"/>
  <c r="D65" i="1"/>
  <c r="D50" i="1"/>
  <c r="D48" i="1"/>
  <c r="D43" i="1"/>
  <c r="D44" i="1"/>
  <c r="D45" i="1"/>
  <c r="D42" i="1"/>
  <c r="D39" i="1"/>
  <c r="D38" i="1"/>
  <c r="D31" i="1"/>
  <c r="D30" i="1"/>
  <c r="D34" i="1"/>
  <c r="C46" i="1"/>
  <c r="D46" i="1" s="1"/>
  <c r="D32" i="1" l="1"/>
  <c r="C74" i="1" l="1"/>
  <c r="D74" i="1" s="1"/>
  <c r="C77" i="1" l="1"/>
  <c r="D77" i="1"/>
  <c r="C27" i="1"/>
  <c r="D27" i="1" s="1"/>
  <c r="C32" i="1"/>
  <c r="C40" i="1"/>
  <c r="D40" i="1" s="1"/>
  <c r="D63" i="1"/>
  <c r="D78" i="1" l="1"/>
  <c r="C35" i="1"/>
  <c r="C78" i="1" l="1"/>
  <c r="C79" i="1" s="1"/>
</calcChain>
</file>

<file path=xl/sharedStrings.xml><?xml version="1.0" encoding="utf-8"?>
<sst xmlns="http://schemas.openxmlformats.org/spreadsheetml/2006/main" count="116" uniqueCount="109">
  <si>
    <t xml:space="preserve"> </t>
  </si>
  <si>
    <t>INGRESOS</t>
  </si>
  <si>
    <t>C O N C E P T O</t>
  </si>
  <si>
    <t>GASTOS</t>
  </si>
  <si>
    <t xml:space="preserve"> SERVICIOS</t>
  </si>
  <si>
    <t>ADMINISTRACION</t>
  </si>
  <si>
    <t>CONJUNTO RESIDENCIAL MARSELLA</t>
  </si>
  <si>
    <t>HONORARIOS</t>
  </si>
  <si>
    <t>CONTABILIDAD</t>
  </si>
  <si>
    <t>SEGUROS</t>
  </si>
  <si>
    <t>ASEO AREAS COMUNES</t>
  </si>
  <si>
    <t>SEGURIDAD Y ASEO</t>
  </si>
  <si>
    <t>SERVICIO DE VIGILANCIA</t>
  </si>
  <si>
    <t>SERVICIOS PUBLICOS</t>
  </si>
  <si>
    <t>ACUEDUCTO Y ALCANTARILLADO</t>
  </si>
  <si>
    <t>AREAS COMUNES</t>
  </si>
  <si>
    <t>ELEMENTOS DE ASEO</t>
  </si>
  <si>
    <t>ENERGIA</t>
  </si>
  <si>
    <t>COMISION SERVICIO RECAUDO</t>
  </si>
  <si>
    <t>TOTAL GASTOS</t>
  </si>
  <si>
    <t>OTROS INGRESOS</t>
  </si>
  <si>
    <t>CUOTAS DE ADMINISTRACION</t>
  </si>
  <si>
    <t>DESCUENTOS PRONTO PAGO</t>
  </si>
  <si>
    <t>ALQUILER SALON SOCIAL</t>
  </si>
  <si>
    <t>ALQUILER SILLAS</t>
  </si>
  <si>
    <t>TOTAL INGRESOS</t>
  </si>
  <si>
    <t>ALQUILER MESAS</t>
  </si>
  <si>
    <t>ALQUILER PARQUEADERO VEHICULOS</t>
  </si>
  <si>
    <t>ALQUILER PARQUEADERO MOTOS</t>
  </si>
  <si>
    <t>ALQUILER ZONAS COMUNES</t>
  </si>
  <si>
    <t>ALQUILER B.B.Q.</t>
  </si>
  <si>
    <t>SANCIONES Y MULTAS</t>
  </si>
  <si>
    <t>GASEOSA</t>
  </si>
  <si>
    <t>POLIZA DE SEGUROS AREAS COMUNES</t>
  </si>
  <si>
    <t>TELEFONO</t>
  </si>
  <si>
    <t>MANTENIMIENTO Y REPARACIONES</t>
  </si>
  <si>
    <t>TANQUE DE RESERVA Y MOTOBOMBA</t>
  </si>
  <si>
    <t>RECARGA EXTINTORES</t>
  </si>
  <si>
    <t>DIVERSOS</t>
  </si>
  <si>
    <t>UTILES PAPELERIA Y FOTOCOPIAS</t>
  </si>
  <si>
    <t>TAXIS Y BUSES</t>
  </si>
  <si>
    <t>DEPRECIACIONES</t>
  </si>
  <si>
    <t>SUBTOTAL OTROS INGRESOS</t>
  </si>
  <si>
    <t>SUBTOTAL SEGURIDAD Y ASEO</t>
  </si>
  <si>
    <t>SUBTOTAL HONORARIOS</t>
  </si>
  <si>
    <t>SUBTOTAL SEGUROS</t>
  </si>
  <si>
    <t>SUBTOTAL SERVICIOS PUBLICOS</t>
  </si>
  <si>
    <t>SUBTOTAL MANTENIMIENTO Y REPARACIONES</t>
  </si>
  <si>
    <t>SUBTOTAL DIVERSOS</t>
  </si>
  <si>
    <t>SUBTOTAL PROVISIONES Y DEPRECIACIONES</t>
  </si>
  <si>
    <t>RESULTADO NETO</t>
  </si>
  <si>
    <t>CELEBRACION DIA DEL NIÑO</t>
  </si>
  <si>
    <t>MENOS CUOTAS DE ADMINISTRACION POR COBRAR</t>
  </si>
  <si>
    <t>PODA DE PRADO Y FUMIGACION</t>
  </si>
  <si>
    <t>MENOS FONDO DE IMPREVISTOS</t>
  </si>
  <si>
    <t>CARRETA DE CARGA</t>
  </si>
  <si>
    <t>COMPRA CHEQUERA</t>
  </si>
  <si>
    <t>PROYECCION PRESUPUESTO 2021</t>
  </si>
  <si>
    <t>BOMBILLOS, REFLECTORES Y LÁMPARAS</t>
  </si>
  <si>
    <t>ARREGLOS NAVIDEÑOS</t>
  </si>
  <si>
    <t>GAB SEGURIDAD LTDA. VALOR AGREGADO</t>
  </si>
  <si>
    <t>GAB SEGURIDAD LTDA. DESCUENTOS PRONTO PAGO</t>
  </si>
  <si>
    <t>CONCEPTO</t>
  </si>
  <si>
    <t>INCREMENTO</t>
  </si>
  <si>
    <t>PARQUEADERO VEHICULOS</t>
  </si>
  <si>
    <t>PARQUEADERO MOTOS</t>
  </si>
  <si>
    <t>ALQUILER BBQ</t>
  </si>
  <si>
    <t>MULTA TIPO 1: NO RECOGER LOS EXCREMENTOS DE LOS ANIMALES POR PARTE DE SUS TENEDORES, O DEJARLOS ABANDONADOS DESPUES DE RECOGERLOS  (4 SALARIOS MINIMOS DIARIOS) CODIGO DE POLICIA LEY 1801 DE 2016 ARTICULO 124 NUMERAL 3</t>
  </si>
  <si>
    <t>VARIACION</t>
  </si>
  <si>
    <t>GASTOS LEGALES</t>
  </si>
  <si>
    <t>SUBTOTAL GASTOS LEGALES</t>
  </si>
  <si>
    <t>SERCA ELECTRICA</t>
  </si>
  <si>
    <t>GASTOS ASAMBLEA</t>
  </si>
  <si>
    <t>NOTARIALES</t>
  </si>
  <si>
    <t>TRAMITES LEGALES</t>
  </si>
  <si>
    <t>PROVISIONES Y DEPRECIACIONES</t>
  </si>
  <si>
    <t>EJECUCION A DICIEMBRE 2021</t>
  </si>
  <si>
    <t>ALQUILER BICICLETERO</t>
  </si>
  <si>
    <t>PROYECCION PRESUPUESTO 2022</t>
  </si>
  <si>
    <t>TALONARIOS IMPRESOS</t>
  </si>
  <si>
    <t>INTERESES FINANCIEROS</t>
  </si>
  <si>
    <t>CARLOS OSPINA</t>
  </si>
  <si>
    <t>Administrador</t>
  </si>
  <si>
    <t>INCREMENTOS ANULES</t>
  </si>
  <si>
    <t>CUOTA DE ADMINISTRACION (DESCUENTO PRONTO PAGO $2,500)</t>
  </si>
  <si>
    <t>PUERTAS EN VIDRIO ENTRADA TORRES</t>
  </si>
  <si>
    <t>POLIZA SOFTWARE CONTABLE</t>
  </si>
  <si>
    <t>EJECUCION  A DICIEMBRE DE 2022</t>
  </si>
  <si>
    <t>RECUPERACION DE CARTERA</t>
  </si>
  <si>
    <t>PROYECCION PRESUPUESTO 2023</t>
  </si>
  <si>
    <t>EJECUCION  A DICIEMBRE DE 2023</t>
  </si>
  <si>
    <t>CONTADOR</t>
  </si>
  <si>
    <t xml:space="preserve"> PRESUPUESTO EJECUTADO VIGENCIA 2022 Y PROYECCION VIGENCIA 2023</t>
  </si>
  <si>
    <t>PARQUEADERO BICICLETA</t>
  </si>
  <si>
    <t>PINTURA DEMARCACION PARQUEADEROS</t>
  </si>
  <si>
    <t>REPARACION FUGA DE AGUA  T3, T4 T5, Y T8</t>
  </si>
  <si>
    <t>CAMARAS DE SEGURIDAD Y CIRCUITO CERRADO TV</t>
  </si>
  <si>
    <t>VARIACION 2023</t>
  </si>
  <si>
    <t>VARIACION 2022</t>
  </si>
  <si>
    <t>PROYECCION PRESUPUESTO 2024</t>
  </si>
  <si>
    <t>EJECUCION  A DICIEMBRE DE 2024</t>
  </si>
  <si>
    <t>VALOR CUOTA 2023</t>
  </si>
  <si>
    <t>PROYECCION CUOTA 2024</t>
  </si>
  <si>
    <t xml:space="preserve">DESCUENTO PRONTO </t>
  </si>
  <si>
    <t>PARQUEADERO VEHICULOS VISITANTES ( 12 Horas)</t>
  </si>
  <si>
    <t>PARQUEADERO MOTOS VISITANTES (12 horas)</t>
  </si>
  <si>
    <t>SMLV 2024</t>
  </si>
  <si>
    <t>IPC 2024</t>
  </si>
  <si>
    <t>ALQUILER SALON SOCIAL (DEPOSITO $120,000)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</si>
</sst>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08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6" xfId="0" applyFont="1" applyFill="1" applyBorder="1"/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3" fontId="0" fillId="0" borderId="0" xfId="0" applyNumberFormat="1"/>
    <xf numFmtId="3" fontId="1" fillId="0" borderId="1" xfId="0" applyNumberFormat="1" applyFont="1" applyBorder="1" applyAlignment="1">
      <alignment horizontal="right"/>
    </xf>
    <xf numFmtId="0" fontId="2" fillId="2" borderId="3" xfId="0" applyFont="1" applyFill="1" applyBorder="1"/>
    <xf numFmtId="0" fontId="2" fillId="0" borderId="0" xfId="0" applyFont="1" applyAlignment="1">
      <alignment horizontal="center"/>
    </xf>
    <xf numFmtId="3" fontId="0" fillId="0" borderId="1" xfId="0" applyNumberFormat="1" applyBorder="1"/>
    <xf numFmtId="3" fontId="0" fillId="0" borderId="2" xfId="0" applyNumberFormat="1" applyBorder="1"/>
    <xf numFmtId="3" fontId="0" fillId="0" borderId="4" xfId="0" applyNumberFormat="1" applyBorder="1"/>
    <xf numFmtId="3" fontId="0" fillId="0" borderId="3" xfId="0" applyNumberFormat="1" applyBorder="1"/>
    <xf numFmtId="3" fontId="0" fillId="0" borderId="9" xfId="0" applyNumberFormat="1" applyBorder="1"/>
    <xf numFmtId="3" fontId="0" fillId="0" borderId="8" xfId="0" applyNumberFormat="1" applyBorder="1"/>
    <xf numFmtId="0" fontId="0" fillId="0" borderId="2" xfId="0" applyBorder="1"/>
    <xf numFmtId="3" fontId="6" fillId="0" borderId="4" xfId="0" applyNumberFormat="1" applyFont="1" applyBorder="1"/>
    <xf numFmtId="49" fontId="5" fillId="0" borderId="1" xfId="0" applyNumberFormat="1" applyFont="1" applyBorder="1" applyAlignment="1">
      <alignment horizontal="center" wrapText="1"/>
    </xf>
    <xf numFmtId="49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 horizontal="right"/>
    </xf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2" borderId="3" xfId="0" applyFont="1" applyFill="1" applyBorder="1"/>
    <xf numFmtId="3" fontId="1" fillId="0" borderId="9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3" fontId="2" fillId="0" borderId="8" xfId="0" applyNumberFormat="1" applyFont="1" applyBorder="1"/>
    <xf numFmtId="3" fontId="2" fillId="0" borderId="5" xfId="0" applyNumberFormat="1" applyFont="1" applyBorder="1"/>
    <xf numFmtId="0" fontId="1" fillId="2" borderId="3" xfId="0" applyFont="1" applyFill="1" applyBorder="1" applyAlignment="1">
      <alignment horizontal="left"/>
    </xf>
    <xf numFmtId="3" fontId="6" fillId="0" borderId="1" xfId="0" applyNumberFormat="1" applyFont="1" applyBorder="1" applyAlignment="1">
      <alignment horizontal="right"/>
    </xf>
    <xf numFmtId="3" fontId="0" fillId="0" borderId="9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3" fillId="0" borderId="1" xfId="0" applyFont="1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0" fillId="0" borderId="7" xfId="0" applyNumberForma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6" fillId="0" borderId="4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49" fontId="5" fillId="0" borderId="1" xfId="0" applyNumberFormat="1" applyFont="1" applyBorder="1" applyAlignment="1">
      <alignment horizontal="right" wrapText="1"/>
    </xf>
    <xf numFmtId="49" fontId="5" fillId="2" borderId="1" xfId="0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3" fontId="3" fillId="0" borderId="0" xfId="0" applyNumberFormat="1" applyFont="1" applyAlignment="1">
      <alignment horizontal="right"/>
    </xf>
    <xf numFmtId="3" fontId="5" fillId="0" borderId="8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3" fontId="5" fillId="0" borderId="7" xfId="0" applyNumberFormat="1" applyFont="1" applyBorder="1"/>
    <xf numFmtId="3" fontId="5" fillId="0" borderId="5" xfId="0" applyNumberFormat="1" applyFont="1" applyBorder="1"/>
    <xf numFmtId="3" fontId="5" fillId="0" borderId="5" xfId="0" applyNumberFormat="1" applyFont="1" applyBorder="1" applyAlignment="1">
      <alignment horizontal="right"/>
    </xf>
    <xf numFmtId="0" fontId="0" fillId="0" borderId="0" xfId="0" quotePrefix="1"/>
    <xf numFmtId="0" fontId="0" fillId="0" borderId="0" xfId="0" applyAlignment="1">
      <alignment horizontal="left"/>
    </xf>
    <xf numFmtId="3" fontId="1" fillId="2" borderId="4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3" fontId="1" fillId="2" borderId="3" xfId="0" applyNumberFormat="1" applyFont="1" applyFill="1" applyBorder="1" applyAlignment="1">
      <alignment horizontal="right"/>
    </xf>
    <xf numFmtId="3" fontId="1" fillId="2" borderId="2" xfId="0" applyNumberFormat="1" applyFont="1" applyFill="1" applyBorder="1" applyAlignment="1">
      <alignment horizontal="right"/>
    </xf>
    <xf numFmtId="3" fontId="1" fillId="2" borderId="7" xfId="0" applyNumberFormat="1" applyFont="1" applyFill="1" applyBorder="1" applyAlignment="1">
      <alignment horizontal="right"/>
    </xf>
    <xf numFmtId="3" fontId="2" fillId="2" borderId="8" xfId="0" applyNumberFormat="1" applyFont="1" applyFill="1" applyBorder="1" applyAlignment="1">
      <alignment horizontal="right"/>
    </xf>
    <xf numFmtId="3" fontId="2" fillId="2" borderId="7" xfId="0" applyNumberFormat="1" applyFont="1" applyFill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3" fontId="4" fillId="2" borderId="9" xfId="0" applyNumberFormat="1" applyFont="1" applyFill="1" applyBorder="1" applyAlignment="1">
      <alignment horizontal="right"/>
    </xf>
    <xf numFmtId="3" fontId="1" fillId="2" borderId="9" xfId="0" applyNumberFormat="1" applyFont="1" applyFill="1" applyBorder="1" applyAlignment="1">
      <alignment horizontal="right"/>
    </xf>
    <xf numFmtId="3" fontId="4" fillId="2" borderId="3" xfId="0" applyNumberFormat="1" applyFont="1" applyFill="1" applyBorder="1" applyAlignment="1">
      <alignment horizontal="right"/>
    </xf>
    <xf numFmtId="3" fontId="4" fillId="2" borderId="4" xfId="0" applyNumberFormat="1" applyFont="1" applyFill="1" applyBorder="1" applyAlignment="1">
      <alignment horizontal="right"/>
    </xf>
    <xf numFmtId="3" fontId="8" fillId="2" borderId="5" xfId="0" applyNumberFormat="1" applyFont="1" applyFill="1" applyBorder="1" applyAlignment="1">
      <alignment horizontal="right"/>
    </xf>
    <xf numFmtId="3" fontId="8" fillId="2" borderId="8" xfId="0" applyNumberFormat="1" applyFont="1" applyFill="1" applyBorder="1" applyAlignment="1">
      <alignment horizontal="right"/>
    </xf>
    <xf numFmtId="49" fontId="9" fillId="2" borderId="1" xfId="0" applyNumberFormat="1" applyFont="1" applyFill="1" applyBorder="1" applyAlignment="1">
      <alignment horizontal="right" wrapText="1"/>
    </xf>
    <xf numFmtId="10" fontId="6" fillId="2" borderId="1" xfId="0" applyNumberFormat="1" applyFont="1" applyFill="1" applyBorder="1" applyAlignment="1">
      <alignment horizontal="right"/>
    </xf>
    <xf numFmtId="3" fontId="5" fillId="0" borderId="8" xfId="0" applyNumberFormat="1" applyFont="1" applyBorder="1"/>
    <xf numFmtId="0" fontId="1" fillId="2" borderId="3" xfId="0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right" vertical="top" wrapText="1"/>
    </xf>
    <xf numFmtId="49" fontId="1" fillId="0" borderId="3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/>
    </xf>
    <xf numFmtId="0" fontId="0" fillId="0" borderId="1" xfId="0" quotePrefix="1" applyBorder="1"/>
    <xf numFmtId="0" fontId="0" fillId="0" borderId="1" xfId="0" applyBorder="1" applyAlignment="1">
      <alignment horizontal="left"/>
    </xf>
    <xf numFmtId="10" fontId="0" fillId="0" borderId="0" xfId="1" applyNumberFormat="1" applyFont="1" applyBorder="1" applyAlignment="1">
      <alignment horizontal="center" vertical="center"/>
    </xf>
    <xf numFmtId="49" fontId="10" fillId="4" borderId="10" xfId="0" applyNumberFormat="1" applyFont="1" applyFill="1" applyBorder="1" applyAlignment="1">
      <alignment horizontal="center" vertical="top" wrapText="1"/>
    </xf>
    <xf numFmtId="49" fontId="10" fillId="4" borderId="3" xfId="0" applyNumberFormat="1" applyFont="1" applyFill="1" applyBorder="1" applyAlignment="1">
      <alignment horizontal="center" vertical="top" wrapText="1"/>
    </xf>
    <xf numFmtId="3" fontId="5" fillId="3" borderId="19" xfId="0" applyNumberFormat="1" applyFont="1" applyFill="1" applyBorder="1" applyAlignment="1">
      <alignment horizontal="center"/>
    </xf>
    <xf numFmtId="3" fontId="5" fillId="3" borderId="20" xfId="0" applyNumberFormat="1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1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2"/>
  <sheetViews>
    <sheetView tabSelected="1" topLeftCell="A19" zoomScale="115" zoomScaleNormal="115" workbookViewId="0">
      <pane xSplit="1" topLeftCell="F1" activePane="topRight" state="frozen"/>
      <selection pane="topRight" activeCell="K31" sqref="K31"/>
    </sheetView>
  </sheetViews>
  <sheetFormatPr baseColWidth="10" defaultRowHeight="15" x14ac:dyDescent="0.25"/>
  <cols>
    <col min="1" max="1" width="45" customWidth="1"/>
    <col min="2" max="2" width="15" style="59" hidden="1" customWidth="1"/>
    <col min="3" max="3" width="11.28515625" style="59" hidden="1" customWidth="1"/>
    <col min="4" max="4" width="13.28515625" style="59" hidden="1" customWidth="1"/>
    <col min="5" max="6" width="14.42578125" customWidth="1"/>
    <col min="7" max="7" width="13.42578125" style="59" customWidth="1"/>
    <col min="8" max="8" width="17.42578125" customWidth="1"/>
    <col min="9" max="9" width="14.42578125" customWidth="1"/>
    <col min="10" max="10" width="13.42578125" style="59" customWidth="1"/>
    <col min="11" max="11" width="17.42578125" customWidth="1"/>
    <col min="12" max="12" width="14.42578125" customWidth="1"/>
    <col min="13" max="13" width="5.85546875" customWidth="1"/>
    <col min="14" max="14" width="19.5703125" customWidth="1"/>
  </cols>
  <sheetData>
    <row r="1" spans="1:14" x14ac:dyDescent="0.25">
      <c r="A1" s="99" t="s">
        <v>6</v>
      </c>
      <c r="B1" s="100"/>
      <c r="C1" s="100"/>
      <c r="D1" s="100"/>
      <c r="E1" s="100"/>
      <c r="F1" s="100"/>
      <c r="G1" s="100"/>
      <c r="H1" s="100"/>
      <c r="I1" s="100"/>
      <c r="J1" s="101"/>
    </row>
    <row r="2" spans="1:14" x14ac:dyDescent="0.25">
      <c r="A2" s="102" t="s">
        <v>92</v>
      </c>
      <c r="B2" s="103"/>
      <c r="C2" s="103"/>
      <c r="D2" s="103"/>
      <c r="E2" s="103"/>
      <c r="F2" s="103"/>
      <c r="G2" s="103"/>
      <c r="H2" s="103"/>
      <c r="I2" s="103"/>
      <c r="J2" s="104"/>
    </row>
    <row r="3" spans="1:14" ht="15.75" thickBot="1" x14ac:dyDescent="0.3">
      <c r="A3" s="105" t="s">
        <v>0</v>
      </c>
      <c r="B3" s="106"/>
      <c r="C3" s="106"/>
      <c r="D3" s="106"/>
      <c r="E3" s="106"/>
      <c r="F3" s="106"/>
      <c r="G3" s="106"/>
      <c r="H3" s="106"/>
      <c r="I3" s="106"/>
      <c r="J3" s="107"/>
    </row>
    <row r="4" spans="1:14" ht="41.25" customHeight="1" x14ac:dyDescent="0.25">
      <c r="A4" s="85" t="s">
        <v>2</v>
      </c>
      <c r="B4" s="86" t="s">
        <v>57</v>
      </c>
      <c r="C4" s="87" t="s">
        <v>76</v>
      </c>
      <c r="D4" s="87" t="s">
        <v>68</v>
      </c>
      <c r="E4" s="88" t="s">
        <v>78</v>
      </c>
      <c r="F4" s="88" t="s">
        <v>87</v>
      </c>
      <c r="G4" s="89" t="s">
        <v>98</v>
      </c>
      <c r="H4" s="88" t="s">
        <v>89</v>
      </c>
      <c r="I4" s="89" t="s">
        <v>90</v>
      </c>
      <c r="J4" s="90" t="s">
        <v>97</v>
      </c>
      <c r="K4" s="95" t="s">
        <v>99</v>
      </c>
      <c r="L4" s="96" t="s">
        <v>100</v>
      </c>
    </row>
    <row r="5" spans="1:14" ht="17.25" customHeight="1" x14ac:dyDescent="0.25">
      <c r="A5" s="2" t="s">
        <v>1</v>
      </c>
      <c r="B5" s="35"/>
      <c r="C5" s="36"/>
      <c r="D5" s="36"/>
      <c r="E5" s="19"/>
      <c r="F5" s="19"/>
      <c r="G5" s="36"/>
      <c r="H5" s="19"/>
      <c r="I5" s="19"/>
      <c r="J5" s="36"/>
      <c r="K5" s="19"/>
      <c r="L5" s="19"/>
    </row>
    <row r="6" spans="1:14" x14ac:dyDescent="0.25">
      <c r="A6" s="3" t="s">
        <v>21</v>
      </c>
      <c r="B6" s="23">
        <v>177552000</v>
      </c>
      <c r="C6" s="10">
        <v>177552000</v>
      </c>
      <c r="D6" s="10">
        <f>+C6-B6</f>
        <v>0</v>
      </c>
      <c r="E6" s="13">
        <f>+((F84*216)*9)+((68500*216)*3)</f>
        <v>232722720</v>
      </c>
      <c r="F6" s="13">
        <v>191160000</v>
      </c>
      <c r="G6" s="10">
        <f>+F6-E6</f>
        <v>-41562720</v>
      </c>
      <c r="H6" s="13">
        <v>217080000</v>
      </c>
      <c r="I6" s="13">
        <v>217080000</v>
      </c>
      <c r="J6" s="10">
        <f>+I6-H6</f>
        <v>0</v>
      </c>
      <c r="K6" s="13">
        <f>(+F84*216)*12</f>
        <v>251112960</v>
      </c>
      <c r="L6" s="13">
        <v>0</v>
      </c>
      <c r="M6" s="9"/>
    </row>
    <row r="7" spans="1:14" x14ac:dyDescent="0.25">
      <c r="A7" s="3" t="s">
        <v>88</v>
      </c>
      <c r="B7" s="34">
        <v>0</v>
      </c>
      <c r="C7" s="10">
        <v>0</v>
      </c>
      <c r="D7" s="10">
        <v>0</v>
      </c>
      <c r="E7" s="17"/>
      <c r="F7" s="17">
        <v>25427915</v>
      </c>
      <c r="G7" s="10">
        <v>0</v>
      </c>
      <c r="H7" s="13">
        <v>0</v>
      </c>
      <c r="I7" s="13">
        <v>19039167</v>
      </c>
      <c r="J7" s="10">
        <v>0</v>
      </c>
      <c r="K7" s="13">
        <v>0</v>
      </c>
      <c r="L7" s="13">
        <v>0</v>
      </c>
      <c r="M7" s="9"/>
      <c r="N7" s="9"/>
    </row>
    <row r="8" spans="1:14" x14ac:dyDescent="0.25">
      <c r="A8" s="3" t="s">
        <v>52</v>
      </c>
      <c r="B8" s="34">
        <v>-36789152</v>
      </c>
      <c r="C8" s="10">
        <v>-26098517</v>
      </c>
      <c r="D8" s="41">
        <f t="shared" ref="D8:D27" si="0">+C8-B8</f>
        <v>10690635</v>
      </c>
      <c r="E8" s="34">
        <v>0</v>
      </c>
      <c r="F8" s="34">
        <v>-30185500</v>
      </c>
      <c r="G8" s="41">
        <f t="shared" ref="G8:G10" si="1">+F8-E8</f>
        <v>-30185500</v>
      </c>
      <c r="H8" s="23">
        <v>0</v>
      </c>
      <c r="I8" s="23">
        <v>-41243122.420000002</v>
      </c>
      <c r="J8" s="41">
        <f t="shared" ref="J8:J10" si="2">+I8-H8</f>
        <v>-41243122.420000002</v>
      </c>
      <c r="K8" s="23">
        <v>0</v>
      </c>
      <c r="L8" s="23">
        <v>0</v>
      </c>
      <c r="M8" s="9"/>
    </row>
    <row r="9" spans="1:14" ht="15.75" thickBot="1" x14ac:dyDescent="0.3">
      <c r="A9" s="3" t="s">
        <v>54</v>
      </c>
      <c r="B9" s="37">
        <v>-2103211.65</v>
      </c>
      <c r="C9" s="38">
        <v>0</v>
      </c>
      <c r="D9" s="68">
        <f t="shared" si="0"/>
        <v>2103211.65</v>
      </c>
      <c r="E9" s="15">
        <v>-2559127</v>
      </c>
      <c r="F9" s="15">
        <v>0</v>
      </c>
      <c r="G9" s="68">
        <f t="shared" si="1"/>
        <v>2559127</v>
      </c>
      <c r="H9" s="15">
        <v>-2805990</v>
      </c>
      <c r="I9" s="15">
        <v>-3013932</v>
      </c>
      <c r="J9" s="68">
        <f t="shared" si="2"/>
        <v>-207942</v>
      </c>
      <c r="K9" s="15">
        <f>(+I9*$J$84)+I9</f>
        <v>-3375603.84</v>
      </c>
      <c r="L9" s="15">
        <v>0</v>
      </c>
      <c r="M9" s="9"/>
    </row>
    <row r="10" spans="1:14" ht="15.75" thickBot="1" x14ac:dyDescent="0.3">
      <c r="A10" s="3"/>
      <c r="B10" s="62">
        <f>SUM(B6:B9)</f>
        <v>138659636.34999999</v>
      </c>
      <c r="C10" s="47">
        <f>SUM(C6:C9)</f>
        <v>151453483</v>
      </c>
      <c r="D10" s="69">
        <f t="shared" si="0"/>
        <v>12793846.650000006</v>
      </c>
      <c r="E10" s="63">
        <f>SUM(E6:E9)</f>
        <v>230163593</v>
      </c>
      <c r="F10" s="64">
        <f>SUM(F6:F9)</f>
        <v>186402415</v>
      </c>
      <c r="G10" s="69">
        <f t="shared" si="1"/>
        <v>-43761178</v>
      </c>
      <c r="H10" s="64">
        <f>SUM(H6:H9)</f>
        <v>214274010</v>
      </c>
      <c r="I10" s="64">
        <f>SUM(I6:I9)</f>
        <v>191862112.57999998</v>
      </c>
      <c r="J10" s="69">
        <f t="shared" si="2"/>
        <v>-22411897.420000017</v>
      </c>
      <c r="K10" s="64">
        <f>SUM(K6:K9)</f>
        <v>247737356.16</v>
      </c>
      <c r="L10" s="64">
        <f>SUM(L6:L9)</f>
        <v>0</v>
      </c>
      <c r="M10" s="9"/>
      <c r="N10" s="9"/>
    </row>
    <row r="11" spans="1:14" ht="15.75" thickTop="1" x14ac:dyDescent="0.25">
      <c r="A11" s="6" t="s">
        <v>20</v>
      </c>
      <c r="B11" s="34"/>
      <c r="C11" s="40"/>
      <c r="D11" s="70"/>
      <c r="E11" s="17"/>
      <c r="F11" s="17"/>
      <c r="G11" s="70"/>
      <c r="H11" s="17"/>
      <c r="I11" s="17"/>
      <c r="J11" s="70"/>
      <c r="K11" s="17"/>
      <c r="L11" s="17"/>
      <c r="M11" s="9"/>
      <c r="N11" s="9"/>
    </row>
    <row r="12" spans="1:14" x14ac:dyDescent="0.25">
      <c r="A12" s="3" t="s">
        <v>23</v>
      </c>
      <c r="B12" s="23">
        <v>2059650</v>
      </c>
      <c r="C12" s="10">
        <v>2283000</v>
      </c>
      <c r="D12" s="41">
        <f t="shared" si="0"/>
        <v>223350</v>
      </c>
      <c r="E12" s="13">
        <f>+(B12*$L$84)+B12</f>
        <v>2059650</v>
      </c>
      <c r="F12" s="13">
        <v>4114100</v>
      </c>
      <c r="G12" s="41">
        <f t="shared" ref="G12:G27" si="3">+F12-E12</f>
        <v>2054450</v>
      </c>
      <c r="H12" s="13">
        <v>4669504</v>
      </c>
      <c r="I12" s="13">
        <v>3718500</v>
      </c>
      <c r="J12" s="41">
        <f t="shared" ref="J12:J27" si="4">+I12-H12</f>
        <v>-951004</v>
      </c>
      <c r="K12" s="13">
        <f t="shared" ref="K12:K25" si="5">(+I12*$J$84)+I12</f>
        <v>4164720</v>
      </c>
      <c r="L12" s="13">
        <v>0</v>
      </c>
      <c r="M12" s="9"/>
    </row>
    <row r="13" spans="1:14" x14ac:dyDescent="0.25">
      <c r="A13" s="3" t="s">
        <v>24</v>
      </c>
      <c r="B13" s="23">
        <v>613548</v>
      </c>
      <c r="C13" s="10">
        <v>874500</v>
      </c>
      <c r="D13" s="41">
        <f t="shared" si="0"/>
        <v>260952</v>
      </c>
      <c r="E13" s="13">
        <f>+(B13*$L$84)+B13</f>
        <v>613548</v>
      </c>
      <c r="F13" s="13">
        <v>1528050</v>
      </c>
      <c r="G13" s="41">
        <f t="shared" si="3"/>
        <v>914502</v>
      </c>
      <c r="H13" s="13">
        <v>1734337</v>
      </c>
      <c r="I13" s="13">
        <v>1400150</v>
      </c>
      <c r="J13" s="41">
        <f t="shared" si="4"/>
        <v>-334187</v>
      </c>
      <c r="K13" s="13">
        <f t="shared" si="5"/>
        <v>1568168</v>
      </c>
      <c r="L13" s="13">
        <v>0</v>
      </c>
      <c r="M13" s="9"/>
    </row>
    <row r="14" spans="1:14" x14ac:dyDescent="0.25">
      <c r="A14" s="3" t="s">
        <v>26</v>
      </c>
      <c r="B14" s="23">
        <v>143037</v>
      </c>
      <c r="C14" s="10">
        <v>348000</v>
      </c>
      <c r="D14" s="41">
        <f t="shared" si="0"/>
        <v>204963</v>
      </c>
      <c r="E14" s="13">
        <f>+(B14*$L$84)+B14</f>
        <v>143037</v>
      </c>
      <c r="F14" s="13">
        <v>466750</v>
      </c>
      <c r="G14" s="41">
        <f t="shared" si="3"/>
        <v>323713</v>
      </c>
      <c r="H14" s="13">
        <v>529761</v>
      </c>
      <c r="I14" s="13">
        <v>676500</v>
      </c>
      <c r="J14" s="41">
        <f t="shared" si="4"/>
        <v>146739</v>
      </c>
      <c r="K14" s="13">
        <f t="shared" si="5"/>
        <v>757680</v>
      </c>
      <c r="L14" s="13">
        <v>0</v>
      </c>
      <c r="M14" s="9"/>
    </row>
    <row r="15" spans="1:14" x14ac:dyDescent="0.25">
      <c r="A15" s="3" t="s">
        <v>27</v>
      </c>
      <c r="B15" s="23">
        <v>19188000</v>
      </c>
      <c r="C15" s="10">
        <v>17878800</v>
      </c>
      <c r="D15" s="41">
        <f t="shared" si="0"/>
        <v>-1309200</v>
      </c>
      <c r="E15" s="13">
        <f>+((F87*39)*9)+((43000*39)*3)</f>
        <v>26652600</v>
      </c>
      <c r="F15" s="13">
        <v>21050500</v>
      </c>
      <c r="G15" s="41">
        <f t="shared" si="3"/>
        <v>-5602100</v>
      </c>
      <c r="H15" s="13">
        <v>24862500</v>
      </c>
      <c r="I15" s="13">
        <v>23288400</v>
      </c>
      <c r="J15" s="41">
        <f t="shared" si="4"/>
        <v>-1574100</v>
      </c>
      <c r="K15" s="13">
        <f t="shared" si="5"/>
        <v>26083008</v>
      </c>
      <c r="L15" s="13">
        <v>0</v>
      </c>
      <c r="M15" s="9"/>
    </row>
    <row r="16" spans="1:14" x14ac:dyDescent="0.25">
      <c r="A16" s="3" t="s">
        <v>28</v>
      </c>
      <c r="B16" s="23">
        <v>13965000</v>
      </c>
      <c r="C16" s="10">
        <v>12590350</v>
      </c>
      <c r="D16" s="41">
        <f t="shared" si="0"/>
        <v>-1374650</v>
      </c>
      <c r="E16" s="13">
        <f>+((F89*49)*9)+((25000*49)*3)</f>
        <v>5403720</v>
      </c>
      <c r="F16" s="13">
        <f>15067600+302500</f>
        <v>15370100</v>
      </c>
      <c r="G16" s="41">
        <f t="shared" si="3"/>
        <v>9966380</v>
      </c>
      <c r="H16" s="13">
        <v>18648000</v>
      </c>
      <c r="I16" s="13">
        <v>17576600</v>
      </c>
      <c r="J16" s="41">
        <f t="shared" si="4"/>
        <v>-1071400</v>
      </c>
      <c r="K16" s="13">
        <f t="shared" si="5"/>
        <v>19685792</v>
      </c>
      <c r="L16" s="13">
        <v>0</v>
      </c>
      <c r="M16" s="9"/>
    </row>
    <row r="17" spans="1:13" x14ac:dyDescent="0.25">
      <c r="A17" s="3" t="s">
        <v>29</v>
      </c>
      <c r="B17" s="23">
        <v>12552998</v>
      </c>
      <c r="C17" s="10">
        <v>14983700</v>
      </c>
      <c r="D17" s="41">
        <f t="shared" si="0"/>
        <v>2430702</v>
      </c>
      <c r="E17" s="13">
        <f t="shared" ref="E17:E25" si="6">+(B17*$L$84)+B17</f>
        <v>12552998</v>
      </c>
      <c r="F17" s="13">
        <v>19875900</v>
      </c>
      <c r="G17" s="41">
        <f t="shared" si="3"/>
        <v>7322902</v>
      </c>
      <c r="H17" s="13">
        <v>22559147</v>
      </c>
      <c r="I17" s="13">
        <v>19489000</v>
      </c>
      <c r="J17" s="41">
        <f t="shared" si="4"/>
        <v>-3070147</v>
      </c>
      <c r="K17" s="13">
        <f t="shared" si="5"/>
        <v>21827680</v>
      </c>
      <c r="L17" s="13">
        <v>0</v>
      </c>
      <c r="M17" s="9"/>
    </row>
    <row r="18" spans="1:13" x14ac:dyDescent="0.25">
      <c r="A18" s="3" t="s">
        <v>77</v>
      </c>
      <c r="B18" s="23">
        <v>0</v>
      </c>
      <c r="C18" s="10">
        <v>623500</v>
      </c>
      <c r="D18" s="41">
        <f t="shared" si="0"/>
        <v>623500</v>
      </c>
      <c r="E18" s="13">
        <f t="shared" si="6"/>
        <v>0</v>
      </c>
      <c r="F18" s="13">
        <v>2322000</v>
      </c>
      <c r="G18" s="41">
        <f t="shared" si="3"/>
        <v>2322000</v>
      </c>
      <c r="H18" s="13">
        <v>3240000</v>
      </c>
      <c r="I18" s="13">
        <v>2139800</v>
      </c>
      <c r="J18" s="41">
        <f t="shared" si="4"/>
        <v>-1100200</v>
      </c>
      <c r="K18" s="13">
        <f t="shared" si="5"/>
        <v>2396576</v>
      </c>
      <c r="L18" s="13">
        <v>0</v>
      </c>
      <c r="M18" s="9"/>
    </row>
    <row r="19" spans="1:13" x14ac:dyDescent="0.25">
      <c r="A19" s="3" t="s">
        <v>30</v>
      </c>
      <c r="B19" s="23">
        <v>68310</v>
      </c>
      <c r="C19" s="41">
        <v>132000</v>
      </c>
      <c r="D19" s="41">
        <f t="shared" si="0"/>
        <v>63690</v>
      </c>
      <c r="E19" s="13">
        <f t="shared" si="6"/>
        <v>68310</v>
      </c>
      <c r="F19" s="13">
        <v>53600</v>
      </c>
      <c r="G19" s="41">
        <f t="shared" si="3"/>
        <v>-14710</v>
      </c>
      <c r="H19" s="13">
        <v>60836</v>
      </c>
      <c r="I19" s="13">
        <v>35000</v>
      </c>
      <c r="J19" s="41">
        <f t="shared" si="4"/>
        <v>-25836</v>
      </c>
      <c r="K19" s="13">
        <f t="shared" si="5"/>
        <v>39200</v>
      </c>
      <c r="L19" s="13">
        <v>0</v>
      </c>
      <c r="M19" s="9"/>
    </row>
    <row r="20" spans="1:13" x14ac:dyDescent="0.25">
      <c r="A20" s="3" t="s">
        <v>31</v>
      </c>
      <c r="B20" s="23">
        <v>0</v>
      </c>
      <c r="C20" s="10">
        <v>648000</v>
      </c>
      <c r="D20" s="41">
        <f t="shared" si="0"/>
        <v>648000</v>
      </c>
      <c r="E20" s="13">
        <f t="shared" si="6"/>
        <v>0</v>
      </c>
      <c r="F20" s="13">
        <v>521500</v>
      </c>
      <c r="G20" s="41">
        <f t="shared" si="3"/>
        <v>521500</v>
      </c>
      <c r="H20" s="13">
        <v>0</v>
      </c>
      <c r="I20" s="13">
        <v>788500</v>
      </c>
      <c r="J20" s="41">
        <f t="shared" si="4"/>
        <v>788500</v>
      </c>
      <c r="K20" s="13">
        <f t="shared" si="5"/>
        <v>883120</v>
      </c>
      <c r="L20" s="13">
        <v>0</v>
      </c>
      <c r="M20" s="9"/>
    </row>
    <row r="21" spans="1:13" x14ac:dyDescent="0.25">
      <c r="A21" s="3" t="s">
        <v>60</v>
      </c>
      <c r="B21" s="33">
        <v>6000000</v>
      </c>
      <c r="C21" s="10">
        <v>6000000</v>
      </c>
      <c r="D21" s="41">
        <f t="shared" si="0"/>
        <v>0</v>
      </c>
      <c r="E21" s="13">
        <f t="shared" si="6"/>
        <v>6000000</v>
      </c>
      <c r="F21" s="13">
        <v>8000000</v>
      </c>
      <c r="G21" s="41">
        <f t="shared" si="3"/>
        <v>2000000</v>
      </c>
      <c r="H21" s="13">
        <v>6000000</v>
      </c>
      <c r="I21" s="13">
        <v>10000000</v>
      </c>
      <c r="J21" s="41">
        <f t="shared" si="4"/>
        <v>4000000</v>
      </c>
      <c r="K21" s="13">
        <v>6000000</v>
      </c>
      <c r="L21" s="13">
        <v>0</v>
      </c>
      <c r="M21" s="9"/>
    </row>
    <row r="22" spans="1:13" x14ac:dyDescent="0.25">
      <c r="A22" s="3" t="s">
        <v>61</v>
      </c>
      <c r="B22" s="33">
        <v>0</v>
      </c>
      <c r="C22" s="10">
        <v>4000000</v>
      </c>
      <c r="D22" s="41">
        <f t="shared" si="0"/>
        <v>4000000</v>
      </c>
      <c r="E22" s="13">
        <f t="shared" si="6"/>
        <v>0</v>
      </c>
      <c r="F22" s="13">
        <v>4800000</v>
      </c>
      <c r="G22" s="41">
        <f t="shared" si="3"/>
        <v>4800000</v>
      </c>
      <c r="H22" s="13">
        <v>4800000</v>
      </c>
      <c r="I22" s="13">
        <v>4800000</v>
      </c>
      <c r="J22" s="41">
        <f t="shared" si="4"/>
        <v>0</v>
      </c>
      <c r="K22" s="13">
        <v>4800000</v>
      </c>
      <c r="L22" s="13">
        <v>0</v>
      </c>
      <c r="M22" s="9"/>
    </row>
    <row r="23" spans="1:13" x14ac:dyDescent="0.25">
      <c r="A23" s="3" t="s">
        <v>32</v>
      </c>
      <c r="B23" s="23">
        <v>2207396</v>
      </c>
      <c r="C23" s="10">
        <v>2829440</v>
      </c>
      <c r="D23" s="41">
        <f t="shared" si="0"/>
        <v>622044</v>
      </c>
      <c r="E23" s="13">
        <f t="shared" si="6"/>
        <v>2207396</v>
      </c>
      <c r="F23" s="13">
        <v>2694600</v>
      </c>
      <c r="G23" s="41">
        <f t="shared" si="3"/>
        <v>487204</v>
      </c>
      <c r="H23" s="13">
        <v>3058371</v>
      </c>
      <c r="I23" s="13">
        <v>3183000</v>
      </c>
      <c r="J23" s="41">
        <f t="shared" si="4"/>
        <v>124629</v>
      </c>
      <c r="K23" s="13">
        <f t="shared" si="5"/>
        <v>3564960</v>
      </c>
      <c r="L23" s="13">
        <v>0</v>
      </c>
      <c r="M23" s="9"/>
    </row>
    <row r="24" spans="1:13" x14ac:dyDescent="0.25">
      <c r="A24" s="3" t="s">
        <v>55</v>
      </c>
      <c r="B24" s="23">
        <v>31050</v>
      </c>
      <c r="C24" s="42">
        <v>0</v>
      </c>
      <c r="D24" s="71">
        <f t="shared" si="0"/>
        <v>-31050</v>
      </c>
      <c r="E24" s="13">
        <f t="shared" si="6"/>
        <v>31050</v>
      </c>
      <c r="F24" s="13">
        <v>0</v>
      </c>
      <c r="G24" s="71">
        <f t="shared" si="3"/>
        <v>-31050</v>
      </c>
      <c r="H24" s="13">
        <v>0</v>
      </c>
      <c r="I24" s="13">
        <v>0</v>
      </c>
      <c r="J24" s="71">
        <f t="shared" si="4"/>
        <v>0</v>
      </c>
      <c r="K24" s="13">
        <f t="shared" si="5"/>
        <v>0</v>
      </c>
      <c r="L24" s="13">
        <v>0</v>
      </c>
      <c r="M24" s="9"/>
    </row>
    <row r="25" spans="1:13" ht="15.75" thickBot="1" x14ac:dyDescent="0.3">
      <c r="A25" s="3" t="s">
        <v>80</v>
      </c>
      <c r="B25" s="37">
        <v>111646</v>
      </c>
      <c r="C25" s="38">
        <v>604134.17000000004</v>
      </c>
      <c r="D25" s="68">
        <f t="shared" si="0"/>
        <v>492488.17000000004</v>
      </c>
      <c r="E25" s="13">
        <f t="shared" si="6"/>
        <v>111646</v>
      </c>
      <c r="F25" s="14">
        <v>414361</v>
      </c>
      <c r="G25" s="68">
        <f t="shared" si="3"/>
        <v>302715</v>
      </c>
      <c r="H25" s="14">
        <v>470300</v>
      </c>
      <c r="I25" s="14">
        <v>389851</v>
      </c>
      <c r="J25" s="68">
        <f t="shared" si="4"/>
        <v>-80449</v>
      </c>
      <c r="K25" s="15">
        <f t="shared" si="5"/>
        <v>436633.12</v>
      </c>
      <c r="L25" s="13">
        <v>0</v>
      </c>
      <c r="M25" s="9"/>
    </row>
    <row r="26" spans="1:13" ht="15.75" thickBot="1" x14ac:dyDescent="0.3">
      <c r="A26" s="4" t="s">
        <v>42</v>
      </c>
      <c r="B26" s="39">
        <f>SUM(B12:B25)</f>
        <v>56940635</v>
      </c>
      <c r="C26" s="43">
        <f>SUM(C12:C25)</f>
        <v>63795424.170000002</v>
      </c>
      <c r="D26" s="72">
        <f t="shared" si="0"/>
        <v>6854789.1700000018</v>
      </c>
      <c r="E26" s="63">
        <f>SUM(E12:E25)</f>
        <v>55843955</v>
      </c>
      <c r="F26" s="63">
        <f>SUM(F12:F25)</f>
        <v>81211461</v>
      </c>
      <c r="G26" s="72">
        <f t="shared" si="3"/>
        <v>25367506</v>
      </c>
      <c r="H26" s="63">
        <f>SUM(H12:H25)</f>
        <v>90632756</v>
      </c>
      <c r="I26" s="63">
        <f>SUM(I12:I25)</f>
        <v>87485301</v>
      </c>
      <c r="J26" s="72">
        <f t="shared" si="4"/>
        <v>-3147455</v>
      </c>
      <c r="K26" s="64">
        <f>SUM(K12:K25)</f>
        <v>92207537.120000005</v>
      </c>
      <c r="L26" s="63">
        <f>SUM(L12:L25)</f>
        <v>0</v>
      </c>
      <c r="M26" s="9"/>
    </row>
    <row r="27" spans="1:13" ht="19.5" customHeight="1" thickTop="1" thickBot="1" x14ac:dyDescent="0.3">
      <c r="A27" s="5" t="s">
        <v>25</v>
      </c>
      <c r="B27" s="61">
        <f>+B10+B26</f>
        <v>195600271.34999999</v>
      </c>
      <c r="C27" s="44">
        <f>+C10+C26</f>
        <v>215248907.17000002</v>
      </c>
      <c r="D27" s="73">
        <f t="shared" si="0"/>
        <v>19648635.820000023</v>
      </c>
      <c r="E27" s="84">
        <f>+E10+E26</f>
        <v>286007548</v>
      </c>
      <c r="F27" s="84">
        <f>+F10+F26</f>
        <v>267613876</v>
      </c>
      <c r="G27" s="73">
        <f t="shared" si="3"/>
        <v>-18393672</v>
      </c>
      <c r="H27" s="84">
        <f>+H10+H26</f>
        <v>304906766</v>
      </c>
      <c r="I27" s="18">
        <f>+I10+I26</f>
        <v>279347413.57999998</v>
      </c>
      <c r="J27" s="73">
        <f t="shared" si="4"/>
        <v>-25559352.420000017</v>
      </c>
      <c r="K27" s="84">
        <f>+K10+K26</f>
        <v>339944893.27999997</v>
      </c>
      <c r="L27" s="18">
        <f>+L10+L26</f>
        <v>0</v>
      </c>
      <c r="M27" s="9"/>
    </row>
    <row r="28" spans="1:13" ht="22.5" customHeight="1" thickTop="1" x14ac:dyDescent="0.25">
      <c r="A28" s="6" t="s">
        <v>3</v>
      </c>
      <c r="B28" s="34"/>
      <c r="C28" s="40"/>
      <c r="D28" s="70"/>
      <c r="E28" s="17"/>
      <c r="F28" s="17"/>
      <c r="G28" s="70"/>
      <c r="H28" s="17"/>
      <c r="I28" s="17"/>
      <c r="J28" s="70"/>
      <c r="K28" s="17"/>
      <c r="L28" s="17"/>
      <c r="M28" s="9"/>
    </row>
    <row r="29" spans="1:13" x14ac:dyDescent="0.25">
      <c r="A29" s="2" t="s">
        <v>7</v>
      </c>
      <c r="B29" s="23"/>
      <c r="C29" s="10"/>
      <c r="D29" s="41"/>
      <c r="E29" s="13"/>
      <c r="F29" s="13"/>
      <c r="G29" s="41"/>
      <c r="H29" s="13"/>
      <c r="I29" s="13"/>
      <c r="J29" s="41"/>
      <c r="K29" s="13"/>
      <c r="L29" s="13"/>
      <c r="M29" s="9"/>
    </row>
    <row r="30" spans="1:13" x14ac:dyDescent="0.25">
      <c r="A30" s="3" t="s">
        <v>5</v>
      </c>
      <c r="B30" s="23">
        <v>14868000</v>
      </c>
      <c r="C30" s="10">
        <v>14674552</v>
      </c>
      <c r="D30" s="41">
        <f>+B30-C30</f>
        <v>193448</v>
      </c>
      <c r="E30" s="13">
        <f>1362900*12</f>
        <v>16354800</v>
      </c>
      <c r="F30" s="13">
        <v>16354800</v>
      </c>
      <c r="G30" s="41">
        <f>+E30-F30</f>
        <v>0</v>
      </c>
      <c r="H30" s="13">
        <v>18562698</v>
      </c>
      <c r="I30" s="13">
        <v>18562703</v>
      </c>
      <c r="J30" s="41">
        <f>+H30-I30</f>
        <v>-5</v>
      </c>
      <c r="K30" s="13">
        <f t="shared" ref="K30:K31" si="7">(+I30*$J$84)+I30</f>
        <v>20790227.359999999</v>
      </c>
      <c r="L30" s="13">
        <v>0</v>
      </c>
      <c r="M30" s="9"/>
    </row>
    <row r="31" spans="1:13" ht="15.75" thickBot="1" x14ac:dyDescent="0.3">
      <c r="A31" s="3" t="s">
        <v>8</v>
      </c>
      <c r="B31" s="37">
        <v>6134000</v>
      </c>
      <c r="C31" s="38">
        <v>6134000</v>
      </c>
      <c r="D31" s="68">
        <f>+B31-C31</f>
        <v>0</v>
      </c>
      <c r="E31" s="15">
        <v>6747600</v>
      </c>
      <c r="F31" s="14">
        <v>6747600</v>
      </c>
      <c r="G31" s="68">
        <f>+E31-F31</f>
        <v>0</v>
      </c>
      <c r="H31" s="14">
        <v>7658526</v>
      </c>
      <c r="I31" s="14">
        <v>7658400</v>
      </c>
      <c r="J31" s="68">
        <f>+H31-I31</f>
        <v>126</v>
      </c>
      <c r="K31" s="13">
        <f t="shared" si="7"/>
        <v>8577408</v>
      </c>
      <c r="L31" s="13">
        <v>0</v>
      </c>
      <c r="M31" s="9"/>
    </row>
    <row r="32" spans="1:13" ht="15.75" thickBot="1" x14ac:dyDescent="0.3">
      <c r="A32" s="5" t="s">
        <v>44</v>
      </c>
      <c r="B32" s="39">
        <f t="shared" ref="B32:E32" si="8">SUM(B30:B31)</f>
        <v>21002000</v>
      </c>
      <c r="C32" s="45">
        <f t="shared" si="8"/>
        <v>20808552</v>
      </c>
      <c r="D32" s="74">
        <f t="shared" si="8"/>
        <v>193448</v>
      </c>
      <c r="E32" s="63">
        <f t="shared" si="8"/>
        <v>23102400</v>
      </c>
      <c r="F32" s="63">
        <f>SUM(F30:F31)</f>
        <v>23102400</v>
      </c>
      <c r="G32" s="74">
        <f t="shared" ref="G32" si="9">SUM(G30:G31)</f>
        <v>0</v>
      </c>
      <c r="H32" s="63">
        <f>SUM(H30:H31)</f>
        <v>26221224</v>
      </c>
      <c r="I32" s="63">
        <f>SUM(I30:I31)</f>
        <v>26221103</v>
      </c>
      <c r="J32" s="74">
        <f t="shared" ref="J32" si="10">SUM(J30:J31)</f>
        <v>121</v>
      </c>
      <c r="K32" s="63">
        <f>SUM(K30:K31)</f>
        <v>29367635.359999999</v>
      </c>
      <c r="L32" s="63">
        <f>SUM(L30:L31)</f>
        <v>0</v>
      </c>
      <c r="M32" s="9"/>
    </row>
    <row r="33" spans="1:33" ht="15.75" thickTop="1" x14ac:dyDescent="0.25">
      <c r="A33" s="2" t="s">
        <v>9</v>
      </c>
      <c r="B33" s="34"/>
      <c r="C33" s="40"/>
      <c r="D33" s="70"/>
      <c r="E33" s="17"/>
      <c r="F33" s="17"/>
      <c r="G33" s="70"/>
      <c r="H33" s="17"/>
      <c r="I33" s="17"/>
      <c r="J33" s="70"/>
      <c r="K33" s="17"/>
      <c r="L33" s="17"/>
      <c r="M33" s="9"/>
    </row>
    <row r="34" spans="1:33" ht="15.75" thickBot="1" x14ac:dyDescent="0.3">
      <c r="A34" s="3" t="s">
        <v>33</v>
      </c>
      <c r="B34" s="46">
        <v>11802260</v>
      </c>
      <c r="C34" s="38">
        <v>11656026</v>
      </c>
      <c r="D34" s="68">
        <f>+B34-C34</f>
        <v>146234</v>
      </c>
      <c r="E34" s="20">
        <v>11802260</v>
      </c>
      <c r="F34" s="20">
        <v>12161776</v>
      </c>
      <c r="G34" s="68">
        <f>+E34-F34</f>
        <v>-359516</v>
      </c>
      <c r="H34" s="20">
        <v>13803616</v>
      </c>
      <c r="I34" s="20">
        <v>14061433</v>
      </c>
      <c r="J34" s="68">
        <f>+H34-I34</f>
        <v>-257817</v>
      </c>
      <c r="K34" s="15">
        <f t="shared" ref="K34" si="11">(+I34*$J$84)+I34</f>
        <v>15748804.960000001</v>
      </c>
      <c r="L34" s="13">
        <v>0</v>
      </c>
      <c r="M34" s="9"/>
    </row>
    <row r="35" spans="1:33" ht="15.75" thickBot="1" x14ac:dyDescent="0.3">
      <c r="A35" s="5" t="s">
        <v>45</v>
      </c>
      <c r="B35" s="39">
        <f>SUM(B34)</f>
        <v>11802260</v>
      </c>
      <c r="C35" s="47">
        <f>SUM(C34)</f>
        <v>11656026</v>
      </c>
      <c r="D35" s="69">
        <v>0</v>
      </c>
      <c r="E35" s="63">
        <f>SUM(E34)</f>
        <v>11802260</v>
      </c>
      <c r="F35" s="64">
        <f>SUM(F34)</f>
        <v>12161776</v>
      </c>
      <c r="G35" s="69">
        <v>0</v>
      </c>
      <c r="H35" s="64">
        <f>SUM(H34)</f>
        <v>13803616</v>
      </c>
      <c r="I35" s="64">
        <f>SUM(I34)</f>
        <v>14061433</v>
      </c>
      <c r="J35" s="69">
        <v>0</v>
      </c>
      <c r="K35" s="64">
        <f>SUM(K34)</f>
        <v>15748804.960000001</v>
      </c>
      <c r="L35" s="64">
        <f>SUM(L34)</f>
        <v>0</v>
      </c>
      <c r="M35" s="9"/>
    </row>
    <row r="36" spans="1:33" ht="15.75" thickTop="1" x14ac:dyDescent="0.25">
      <c r="A36" s="2" t="s">
        <v>4</v>
      </c>
      <c r="B36" s="48"/>
      <c r="C36" s="40"/>
      <c r="D36" s="70"/>
      <c r="E36" s="16"/>
      <c r="F36" s="16"/>
      <c r="G36" s="70"/>
      <c r="H36" s="16"/>
      <c r="I36" s="16"/>
      <c r="J36" s="70"/>
      <c r="K36" s="16"/>
      <c r="L36" s="16"/>
      <c r="M36" s="9"/>
    </row>
    <row r="37" spans="1:33" x14ac:dyDescent="0.25">
      <c r="A37" s="2" t="s">
        <v>11</v>
      </c>
      <c r="B37" s="23"/>
      <c r="C37" s="10"/>
      <c r="D37" s="41"/>
      <c r="E37" s="13"/>
      <c r="F37" s="13"/>
      <c r="G37" s="41"/>
      <c r="H37" s="13"/>
      <c r="I37" s="13"/>
      <c r="J37" s="41"/>
      <c r="K37" s="13"/>
      <c r="L37" s="13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</row>
    <row r="38" spans="1:33" x14ac:dyDescent="0.25">
      <c r="A38" s="3" t="s">
        <v>12</v>
      </c>
      <c r="B38" s="49">
        <v>122858625</v>
      </c>
      <c r="C38" s="50">
        <v>122858637</v>
      </c>
      <c r="D38" s="75">
        <f>+B38-C38</f>
        <v>-12</v>
      </c>
      <c r="E38" s="13">
        <f>+(B38*$L$84)+B38</f>
        <v>122858625</v>
      </c>
      <c r="F38" s="13">
        <v>133241491.94</v>
      </c>
      <c r="G38" s="75">
        <f>+E38-F38</f>
        <v>-10382866.939999998</v>
      </c>
      <c r="H38" s="13">
        <v>156814896</v>
      </c>
      <c r="I38" s="13">
        <v>168738160</v>
      </c>
      <c r="J38" s="75">
        <f>+H38-I38</f>
        <v>-11923264</v>
      </c>
      <c r="K38" s="13">
        <f t="shared" ref="K38:K39" si="12">(+I38*$J$84)+I38</f>
        <v>188986739.19999999</v>
      </c>
      <c r="L38" s="13">
        <v>0</v>
      </c>
      <c r="M38" s="9"/>
      <c r="O38" s="9"/>
      <c r="P38" s="9"/>
      <c r="Q38" s="9"/>
      <c r="S38" s="9"/>
      <c r="U38" s="9"/>
    </row>
    <row r="39" spans="1:33" ht="15.75" thickBot="1" x14ac:dyDescent="0.3">
      <c r="A39" s="3" t="s">
        <v>10</v>
      </c>
      <c r="B39" s="37">
        <f>1710910*12</f>
        <v>20530920</v>
      </c>
      <c r="C39" s="38">
        <v>19207181</v>
      </c>
      <c r="D39" s="68">
        <f t="shared" ref="D39:D40" si="13">+B39-C39</f>
        <v>1323739</v>
      </c>
      <c r="E39" s="13">
        <f>+(B39*$L$84)+B39</f>
        <v>20530920</v>
      </c>
      <c r="F39" s="13">
        <v>22342565.399999999</v>
      </c>
      <c r="G39" s="68">
        <f t="shared" ref="G39:G40" si="14">+E39-F39</f>
        <v>-1811645.3999999985</v>
      </c>
      <c r="H39" s="13">
        <v>26214096</v>
      </c>
      <c r="I39" s="13">
        <v>26214101</v>
      </c>
      <c r="J39" s="68">
        <f t="shared" ref="J39:J40" si="15">+H39-I39</f>
        <v>-5</v>
      </c>
      <c r="K39" s="13">
        <f t="shared" si="12"/>
        <v>29359793.120000001</v>
      </c>
      <c r="L39" s="13">
        <v>0</v>
      </c>
      <c r="M39" s="9"/>
      <c r="O39" s="9"/>
    </row>
    <row r="40" spans="1:33" ht="15.75" thickBot="1" x14ac:dyDescent="0.3">
      <c r="A40" s="5" t="s">
        <v>43</v>
      </c>
      <c r="B40" s="39">
        <f>SUM(B38:B39)</f>
        <v>143389545</v>
      </c>
      <c r="C40" s="45">
        <f>SUM(C38:C39)</f>
        <v>142065818</v>
      </c>
      <c r="D40" s="74">
        <f t="shared" si="13"/>
        <v>1323727</v>
      </c>
      <c r="E40" s="63">
        <f>SUM(E38:E39)</f>
        <v>143389545</v>
      </c>
      <c r="F40" s="63">
        <f>SUM(F38:F39)</f>
        <v>155584057.34</v>
      </c>
      <c r="G40" s="74">
        <f t="shared" si="14"/>
        <v>-12194512.340000004</v>
      </c>
      <c r="H40" s="63">
        <f>SUM(H38:H39)</f>
        <v>183028992</v>
      </c>
      <c r="I40" s="63">
        <f>SUM(I38:I39)</f>
        <v>194952261</v>
      </c>
      <c r="J40" s="74">
        <f t="shared" si="15"/>
        <v>-11923269</v>
      </c>
      <c r="K40" s="63">
        <f>SUM(K38:K39)</f>
        <v>218346532.31999999</v>
      </c>
      <c r="L40" s="63">
        <f>SUM(L38:L39)</f>
        <v>0</v>
      </c>
      <c r="M40" s="9"/>
      <c r="Q40" s="9"/>
      <c r="S40" s="9"/>
      <c r="U40" s="9"/>
    </row>
    <row r="41" spans="1:33" ht="15.75" thickTop="1" x14ac:dyDescent="0.25">
      <c r="A41" s="2" t="s">
        <v>13</v>
      </c>
      <c r="B41" s="34"/>
      <c r="C41" s="40"/>
      <c r="D41" s="70"/>
      <c r="E41" s="17"/>
      <c r="F41" s="17"/>
      <c r="G41" s="70"/>
      <c r="H41" s="17"/>
      <c r="I41" s="17"/>
      <c r="J41" s="70"/>
      <c r="K41" s="17"/>
      <c r="L41" s="17"/>
      <c r="M41" s="9"/>
      <c r="Q41" s="9"/>
    </row>
    <row r="42" spans="1:33" x14ac:dyDescent="0.25">
      <c r="A42" s="3" t="s">
        <v>14</v>
      </c>
      <c r="B42" s="23">
        <v>1002589</v>
      </c>
      <c r="C42" s="50">
        <v>940284</v>
      </c>
      <c r="D42" s="75">
        <f>+B42-C42</f>
        <v>62305</v>
      </c>
      <c r="E42" s="13">
        <f>+(B42*$L$84)+B42</f>
        <v>1002589</v>
      </c>
      <c r="F42" s="13">
        <v>1283467</v>
      </c>
      <c r="G42" s="75">
        <f>+E42-F42</f>
        <v>-280878</v>
      </c>
      <c r="H42" s="13">
        <v>1456735</v>
      </c>
      <c r="I42" s="13">
        <f>993339+135393</f>
        <v>1128732</v>
      </c>
      <c r="J42" s="75">
        <f>+H42-I42</f>
        <v>328003</v>
      </c>
      <c r="K42" s="13">
        <f t="shared" ref="K42:K45" si="16">(+I42*$J$84)+I42</f>
        <v>1264179.8400000001</v>
      </c>
      <c r="L42" s="13">
        <v>0</v>
      </c>
      <c r="M42" s="9"/>
    </row>
    <row r="43" spans="1:33" x14ac:dyDescent="0.25">
      <c r="A43" s="3" t="s">
        <v>17</v>
      </c>
      <c r="B43" s="23">
        <v>14042435</v>
      </c>
      <c r="C43" s="50">
        <v>13900890</v>
      </c>
      <c r="D43" s="75">
        <f t="shared" ref="D43:D46" si="17">+B43-C43</f>
        <v>141545</v>
      </c>
      <c r="E43" s="13">
        <f>+(B43*$L$84)+B43</f>
        <v>14042435</v>
      </c>
      <c r="F43" s="13">
        <v>20359980</v>
      </c>
      <c r="G43" s="75">
        <f t="shared" ref="G43:G46" si="18">+E43-F43</f>
        <v>-6317545</v>
      </c>
      <c r="H43" s="13">
        <v>23108577</v>
      </c>
      <c r="I43" s="13">
        <v>22771910</v>
      </c>
      <c r="J43" s="75">
        <f t="shared" ref="J43:J46" si="19">+H43-I43</f>
        <v>336667</v>
      </c>
      <c r="K43" s="13">
        <f t="shared" si="16"/>
        <v>25504539.199999999</v>
      </c>
      <c r="L43" s="13">
        <v>0</v>
      </c>
      <c r="M43" s="9"/>
    </row>
    <row r="44" spans="1:33" x14ac:dyDescent="0.25">
      <c r="A44" s="3" t="s">
        <v>34</v>
      </c>
      <c r="B44" s="23">
        <v>1011031</v>
      </c>
      <c r="C44" s="50">
        <f>731190+339308</f>
        <v>1070498</v>
      </c>
      <c r="D44" s="75">
        <f t="shared" si="17"/>
        <v>-59467</v>
      </c>
      <c r="E44" s="13">
        <f>+(B44*$L$84)+B44</f>
        <v>1011031</v>
      </c>
      <c r="F44" s="13">
        <v>1030246</v>
      </c>
      <c r="G44" s="75">
        <f t="shared" si="18"/>
        <v>-19215</v>
      </c>
      <c r="H44" s="13">
        <v>1169329</v>
      </c>
      <c r="I44" s="13">
        <v>965258</v>
      </c>
      <c r="J44" s="75">
        <f t="shared" si="19"/>
        <v>204071</v>
      </c>
      <c r="K44" s="13">
        <f t="shared" si="16"/>
        <v>1081088.96</v>
      </c>
      <c r="L44" s="13">
        <v>0</v>
      </c>
      <c r="M44" s="9"/>
    </row>
    <row r="45" spans="1:33" ht="15.75" thickBot="1" x14ac:dyDescent="0.3">
      <c r="A45" s="26" t="s">
        <v>72</v>
      </c>
      <c r="B45" s="34">
        <v>1013650</v>
      </c>
      <c r="C45" s="51">
        <v>2004150</v>
      </c>
      <c r="D45" s="76">
        <f t="shared" si="17"/>
        <v>-990500</v>
      </c>
      <c r="E45" s="13">
        <f>+(B45*$L$84)+B45</f>
        <v>1013650</v>
      </c>
      <c r="F45" s="17">
        <v>1718000</v>
      </c>
      <c r="G45" s="76">
        <f t="shared" si="18"/>
        <v>-704350</v>
      </c>
      <c r="H45" s="17">
        <v>1949930</v>
      </c>
      <c r="I45" s="17">
        <v>60000</v>
      </c>
      <c r="J45" s="76">
        <f t="shared" si="19"/>
        <v>1889930</v>
      </c>
      <c r="K45" s="13">
        <f t="shared" si="16"/>
        <v>67200</v>
      </c>
      <c r="L45" s="13">
        <v>0</v>
      </c>
      <c r="M45" s="9"/>
    </row>
    <row r="46" spans="1:33" ht="15.75" thickBot="1" x14ac:dyDescent="0.3">
      <c r="A46" s="5" t="s">
        <v>46</v>
      </c>
      <c r="B46" s="62">
        <f>SUM(B42:B45)</f>
        <v>17069705</v>
      </c>
      <c r="C46" s="45">
        <f>SUM(C42:C45)</f>
        <v>17915822</v>
      </c>
      <c r="D46" s="74">
        <f t="shared" si="17"/>
        <v>-846117</v>
      </c>
      <c r="E46" s="63">
        <f>SUM(E42:E45)</f>
        <v>17069705</v>
      </c>
      <c r="F46" s="63">
        <f>SUM(F42:F45)</f>
        <v>24391693</v>
      </c>
      <c r="G46" s="74">
        <f t="shared" si="18"/>
        <v>-7321988</v>
      </c>
      <c r="H46" s="63">
        <f>SUM(H42:H45)</f>
        <v>27684571</v>
      </c>
      <c r="I46" s="63">
        <f>SUM(I42:I45)</f>
        <v>24925900</v>
      </c>
      <c r="J46" s="74">
        <f t="shared" si="19"/>
        <v>2758671</v>
      </c>
      <c r="K46" s="63">
        <f>SUM(K42:K45)</f>
        <v>27917008</v>
      </c>
      <c r="L46" s="63">
        <f>SUM(L42:L45)</f>
        <v>0</v>
      </c>
      <c r="M46" s="9"/>
    </row>
    <row r="47" spans="1:33" ht="15.75" thickTop="1" x14ac:dyDescent="0.25">
      <c r="A47" s="28" t="s">
        <v>69</v>
      </c>
      <c r="B47" s="34"/>
      <c r="C47" s="27"/>
      <c r="D47" s="77"/>
      <c r="E47" s="17"/>
      <c r="F47" s="17"/>
      <c r="G47" s="77"/>
      <c r="H47" s="17"/>
      <c r="I47" s="17"/>
      <c r="J47" s="77"/>
      <c r="K47" s="17"/>
      <c r="L47" s="17"/>
      <c r="M47" s="9"/>
    </row>
    <row r="48" spans="1:33" x14ac:dyDescent="0.25">
      <c r="A48" s="29" t="s">
        <v>73</v>
      </c>
      <c r="B48" s="23">
        <v>0</v>
      </c>
      <c r="C48" s="10">
        <v>0</v>
      </c>
      <c r="D48" s="41">
        <f>+B48-C48</f>
        <v>0</v>
      </c>
      <c r="E48" s="13">
        <f>+(B48*$L$84)+B48</f>
        <v>0</v>
      </c>
      <c r="F48" s="13">
        <v>0</v>
      </c>
      <c r="G48" s="41">
        <f>+E48-F48</f>
        <v>0</v>
      </c>
      <c r="H48" s="13">
        <v>0</v>
      </c>
      <c r="I48" s="13">
        <v>0</v>
      </c>
      <c r="J48" s="41">
        <f>+H48-I48</f>
        <v>0</v>
      </c>
      <c r="K48" s="13">
        <v>0</v>
      </c>
      <c r="L48" s="13">
        <v>0</v>
      </c>
      <c r="M48" s="9"/>
    </row>
    <row r="49" spans="1:13" ht="15.75" thickBot="1" x14ac:dyDescent="0.3">
      <c r="A49" s="32" t="s">
        <v>74</v>
      </c>
      <c r="B49" s="37">
        <v>2000000</v>
      </c>
      <c r="C49" s="38">
        <v>115100</v>
      </c>
      <c r="D49" s="68">
        <f>+B49-C49</f>
        <v>1884900</v>
      </c>
      <c r="E49" s="15">
        <f>+(B49*$L$84)+B49</f>
        <v>2000000</v>
      </c>
      <c r="F49" s="15">
        <v>0</v>
      </c>
      <c r="G49" s="68">
        <f>+E49-F49</f>
        <v>2000000</v>
      </c>
      <c r="H49" s="15">
        <v>3500000</v>
      </c>
      <c r="I49" s="15">
        <v>3750000</v>
      </c>
      <c r="J49" s="68">
        <f>+H49-I49</f>
        <v>-250000</v>
      </c>
      <c r="K49" s="13">
        <v>2000000</v>
      </c>
      <c r="L49" s="13">
        <v>0</v>
      </c>
      <c r="M49" s="9"/>
    </row>
    <row r="50" spans="1:13" ht="15.75" thickBot="1" x14ac:dyDescent="0.3">
      <c r="A50" s="5" t="s">
        <v>70</v>
      </c>
      <c r="B50" s="65">
        <f>SUM(B48:B49)</f>
        <v>2000000</v>
      </c>
      <c r="C50" s="47">
        <f>SUM(C48:C49)</f>
        <v>115100</v>
      </c>
      <c r="D50" s="69">
        <f>+B50-C50</f>
        <v>1884900</v>
      </c>
      <c r="E50" s="64">
        <f>SUM(E48:E49)</f>
        <v>2000000</v>
      </c>
      <c r="F50" s="64">
        <v>0</v>
      </c>
      <c r="G50" s="69">
        <f>+E50-F50</f>
        <v>2000000</v>
      </c>
      <c r="H50" s="64">
        <f>SUM(H48:H49)</f>
        <v>3500000</v>
      </c>
      <c r="I50" s="64">
        <f>SUM(I48:I49)</f>
        <v>3750000</v>
      </c>
      <c r="J50" s="69">
        <f>+H50-I50</f>
        <v>-250000</v>
      </c>
      <c r="K50" s="64">
        <f>SUM(K48:K49)</f>
        <v>2000000</v>
      </c>
      <c r="L50" s="64">
        <f>SUM(L48:L49)</f>
        <v>0</v>
      </c>
      <c r="M50" s="9"/>
    </row>
    <row r="51" spans="1:13" ht="15.75" thickTop="1" x14ac:dyDescent="0.25">
      <c r="A51" s="2" t="s">
        <v>35</v>
      </c>
      <c r="B51" s="48"/>
      <c r="C51" s="40"/>
      <c r="D51" s="70"/>
      <c r="E51" s="16"/>
      <c r="F51" s="16"/>
      <c r="G51" s="70"/>
      <c r="H51" s="16"/>
      <c r="I51" s="16"/>
      <c r="J51" s="70"/>
      <c r="K51" s="16"/>
      <c r="L51" s="16"/>
      <c r="M51" s="9"/>
    </row>
    <row r="52" spans="1:13" x14ac:dyDescent="0.25">
      <c r="A52" s="3" t="s">
        <v>15</v>
      </c>
      <c r="B52" s="23">
        <v>5203464</v>
      </c>
      <c r="C52" s="10">
        <f>10350500-4520000</f>
        <v>5830500</v>
      </c>
      <c r="D52" s="41">
        <f>+B52-C52</f>
        <v>-627036</v>
      </c>
      <c r="E52" s="13">
        <f t="shared" ref="E52:E58" si="20">+(B52*$L$84)+B52</f>
        <v>5203464</v>
      </c>
      <c r="F52" s="13">
        <v>4166136</v>
      </c>
      <c r="G52" s="41">
        <f>+E52-F52</f>
        <v>1037328</v>
      </c>
      <c r="H52" s="13">
        <v>4728564</v>
      </c>
      <c r="I52" s="13">
        <f>3260300+5500000</f>
        <v>8760300</v>
      </c>
      <c r="J52" s="41">
        <f>+H52-I52</f>
        <v>-4031736</v>
      </c>
      <c r="K52" s="13">
        <f t="shared" ref="K52:K62" si="21">(+I52*$J$84)+I52</f>
        <v>9811536</v>
      </c>
      <c r="L52" s="13">
        <v>0</v>
      </c>
      <c r="M52" s="9"/>
    </row>
    <row r="53" spans="1:13" x14ac:dyDescent="0.25">
      <c r="A53" s="3" t="s">
        <v>53</v>
      </c>
      <c r="B53" s="23">
        <f>745200+183300</f>
        <v>928500</v>
      </c>
      <c r="C53" s="10">
        <v>1220000</v>
      </c>
      <c r="D53" s="41">
        <f t="shared" ref="D53:D60" si="22">+B53-C53</f>
        <v>-291500</v>
      </c>
      <c r="E53" s="13">
        <f t="shared" si="20"/>
        <v>928500</v>
      </c>
      <c r="F53" s="13">
        <v>1677000</v>
      </c>
      <c r="G53" s="41">
        <f t="shared" ref="G53:G62" si="23">+E53-F53</f>
        <v>-748500</v>
      </c>
      <c r="H53" s="13">
        <v>1903395</v>
      </c>
      <c r="I53" s="13">
        <v>1426900</v>
      </c>
      <c r="J53" s="41">
        <f t="shared" ref="J53:J62" si="24">+H53-I53</f>
        <v>476495</v>
      </c>
      <c r="K53" s="13">
        <f t="shared" si="21"/>
        <v>1598128</v>
      </c>
      <c r="L53" s="13">
        <v>0</v>
      </c>
      <c r="M53" s="9"/>
    </row>
    <row r="54" spans="1:13" x14ac:dyDescent="0.25">
      <c r="A54" s="3" t="s">
        <v>58</v>
      </c>
      <c r="B54" s="23">
        <v>1404495</v>
      </c>
      <c r="C54" s="10">
        <f>280000+1578806</f>
        <v>1858806</v>
      </c>
      <c r="D54" s="41">
        <f t="shared" si="22"/>
        <v>-454311</v>
      </c>
      <c r="E54" s="13">
        <f t="shared" si="20"/>
        <v>1404495</v>
      </c>
      <c r="F54" s="13">
        <v>1662500</v>
      </c>
      <c r="G54" s="41">
        <f t="shared" si="23"/>
        <v>-258005</v>
      </c>
      <c r="H54" s="13">
        <v>1886938</v>
      </c>
      <c r="I54" s="13">
        <v>1378500</v>
      </c>
      <c r="J54" s="41">
        <f t="shared" si="24"/>
        <v>508438</v>
      </c>
      <c r="K54" s="13">
        <f t="shared" si="21"/>
        <v>1543920</v>
      </c>
      <c r="L54" s="13">
        <v>0</v>
      </c>
      <c r="M54" s="9"/>
    </row>
    <row r="55" spans="1:13" x14ac:dyDescent="0.25">
      <c r="A55" s="3" t="s">
        <v>95</v>
      </c>
      <c r="B55" s="23">
        <v>0</v>
      </c>
      <c r="C55" s="10">
        <v>4520000</v>
      </c>
      <c r="D55" s="41">
        <f t="shared" si="22"/>
        <v>-4520000</v>
      </c>
      <c r="E55" s="13">
        <f t="shared" si="20"/>
        <v>0</v>
      </c>
      <c r="F55" s="13">
        <v>4443100</v>
      </c>
      <c r="G55" s="41">
        <f t="shared" si="23"/>
        <v>-4443100</v>
      </c>
      <c r="H55" s="13">
        <v>5042919</v>
      </c>
      <c r="I55" s="13">
        <v>0</v>
      </c>
      <c r="J55" s="41">
        <f t="shared" si="24"/>
        <v>5042919</v>
      </c>
      <c r="K55" s="13">
        <f t="shared" si="21"/>
        <v>0</v>
      </c>
      <c r="L55" s="13">
        <v>0</v>
      </c>
      <c r="M55" s="9"/>
    </row>
    <row r="56" spans="1:13" x14ac:dyDescent="0.25">
      <c r="A56" s="3" t="s">
        <v>94</v>
      </c>
      <c r="B56" s="23">
        <v>0</v>
      </c>
      <c r="C56" s="10">
        <v>6302000</v>
      </c>
      <c r="D56" s="41">
        <f t="shared" si="22"/>
        <v>-6302000</v>
      </c>
      <c r="E56" s="13">
        <f t="shared" si="20"/>
        <v>0</v>
      </c>
      <c r="F56" s="13">
        <v>1459700</v>
      </c>
      <c r="G56" s="41">
        <f t="shared" si="23"/>
        <v>-1459700</v>
      </c>
      <c r="H56" s="13">
        <v>1656760</v>
      </c>
      <c r="I56" s="13">
        <v>0</v>
      </c>
      <c r="J56" s="41">
        <f t="shared" si="24"/>
        <v>1656760</v>
      </c>
      <c r="K56" s="13">
        <f t="shared" si="21"/>
        <v>0</v>
      </c>
      <c r="L56" s="13">
        <v>0</v>
      </c>
      <c r="M56" s="9"/>
    </row>
    <row r="57" spans="1:13" x14ac:dyDescent="0.25">
      <c r="A57" s="3" t="s">
        <v>36</v>
      </c>
      <c r="B57" s="23">
        <v>1240551</v>
      </c>
      <c r="C57" s="10">
        <f>15266344+2050000</f>
        <v>17316344</v>
      </c>
      <c r="D57" s="41">
        <f t="shared" si="22"/>
        <v>-16075793</v>
      </c>
      <c r="E57" s="13">
        <f t="shared" si="20"/>
        <v>1240551</v>
      </c>
      <c r="F57" s="13">
        <f>880600+2790359</f>
        <v>3670959</v>
      </c>
      <c r="G57" s="41">
        <f t="shared" si="23"/>
        <v>-2430408</v>
      </c>
      <c r="H57" s="13">
        <v>4166538</v>
      </c>
      <c r="I57" s="13">
        <v>2757320</v>
      </c>
      <c r="J57" s="41">
        <f t="shared" si="24"/>
        <v>1409218</v>
      </c>
      <c r="K57" s="13">
        <f t="shared" si="21"/>
        <v>3088198.4</v>
      </c>
      <c r="L57" s="13">
        <v>0</v>
      </c>
      <c r="M57" s="9"/>
    </row>
    <row r="58" spans="1:13" x14ac:dyDescent="0.25">
      <c r="A58" s="3" t="s">
        <v>37</v>
      </c>
      <c r="B58" s="33">
        <v>183260</v>
      </c>
      <c r="C58" s="10">
        <v>199200</v>
      </c>
      <c r="D58" s="41">
        <f t="shared" si="22"/>
        <v>-15940</v>
      </c>
      <c r="E58" s="13">
        <f t="shared" si="20"/>
        <v>183260</v>
      </c>
      <c r="F58" s="13">
        <v>173000</v>
      </c>
      <c r="G58" s="41">
        <f t="shared" si="23"/>
        <v>10260</v>
      </c>
      <c r="H58" s="13">
        <v>196355</v>
      </c>
      <c r="I58" s="13">
        <v>346000</v>
      </c>
      <c r="J58" s="41">
        <f t="shared" si="24"/>
        <v>-149645</v>
      </c>
      <c r="K58" s="13">
        <f t="shared" si="21"/>
        <v>387520</v>
      </c>
      <c r="L58" s="13">
        <v>0</v>
      </c>
      <c r="M58" s="9"/>
    </row>
    <row r="59" spans="1:13" x14ac:dyDescent="0.25">
      <c r="A59" s="3" t="s">
        <v>71</v>
      </c>
      <c r="B59" s="52">
        <v>0</v>
      </c>
      <c r="C59" s="10">
        <v>457500</v>
      </c>
      <c r="D59" s="41">
        <f t="shared" si="22"/>
        <v>-457500</v>
      </c>
      <c r="E59" s="13">
        <v>457500</v>
      </c>
      <c r="F59" s="13">
        <v>536000</v>
      </c>
      <c r="G59" s="41">
        <f t="shared" si="23"/>
        <v>-78500</v>
      </c>
      <c r="H59" s="13">
        <v>0</v>
      </c>
      <c r="I59" s="13">
        <v>0</v>
      </c>
      <c r="J59" s="41">
        <f t="shared" si="24"/>
        <v>0</v>
      </c>
      <c r="K59" s="13">
        <f t="shared" si="21"/>
        <v>0</v>
      </c>
      <c r="L59" s="13">
        <v>0</v>
      </c>
      <c r="M59" s="9"/>
    </row>
    <row r="60" spans="1:13" x14ac:dyDescent="0.25">
      <c r="A60" s="3" t="s">
        <v>96</v>
      </c>
      <c r="B60" s="23">
        <v>415553</v>
      </c>
      <c r="C60" s="10">
        <v>0</v>
      </c>
      <c r="D60" s="41">
        <f t="shared" si="22"/>
        <v>415553</v>
      </c>
      <c r="E60" s="13">
        <f>+(B60*$L$84)+B60</f>
        <v>415553</v>
      </c>
      <c r="F60" s="13">
        <v>552000</v>
      </c>
      <c r="G60" s="41">
        <f t="shared" si="23"/>
        <v>-136447</v>
      </c>
      <c r="H60" s="13">
        <v>626520</v>
      </c>
      <c r="I60" s="13">
        <v>1880000</v>
      </c>
      <c r="J60" s="41">
        <f t="shared" si="24"/>
        <v>-1253480</v>
      </c>
      <c r="K60" s="13">
        <f t="shared" si="21"/>
        <v>2105600</v>
      </c>
      <c r="L60" s="13">
        <v>0</v>
      </c>
      <c r="M60" s="9"/>
    </row>
    <row r="61" spans="1:13" x14ac:dyDescent="0.25">
      <c r="A61" s="3" t="s">
        <v>85</v>
      </c>
      <c r="B61" s="34">
        <v>0</v>
      </c>
      <c r="C61" s="27">
        <v>0</v>
      </c>
      <c r="D61" s="77">
        <v>0</v>
      </c>
      <c r="E61" s="13">
        <v>0</v>
      </c>
      <c r="F61" s="13">
        <v>18680000</v>
      </c>
      <c r="G61" s="41">
        <f t="shared" si="23"/>
        <v>-18680000</v>
      </c>
      <c r="H61" s="13">
        <v>10560000</v>
      </c>
      <c r="I61" s="13">
        <v>10560000</v>
      </c>
      <c r="J61" s="41">
        <f t="shared" si="24"/>
        <v>0</v>
      </c>
      <c r="K61" s="13">
        <f t="shared" si="21"/>
        <v>11827200</v>
      </c>
      <c r="L61" s="13">
        <v>0</v>
      </c>
      <c r="M61" s="9"/>
    </row>
    <row r="62" spans="1:13" ht="15.75" thickBot="1" x14ac:dyDescent="0.3">
      <c r="A62" s="3" t="s">
        <v>86</v>
      </c>
      <c r="B62" s="34">
        <v>0</v>
      </c>
      <c r="C62" s="27">
        <v>0</v>
      </c>
      <c r="D62" s="77">
        <v>0</v>
      </c>
      <c r="E62" s="17">
        <v>0</v>
      </c>
      <c r="F62" s="17">
        <v>1490899</v>
      </c>
      <c r="G62" s="41">
        <f t="shared" si="23"/>
        <v>-1490899</v>
      </c>
      <c r="H62" s="17">
        <v>1692170</v>
      </c>
      <c r="I62" s="17">
        <v>1568940</v>
      </c>
      <c r="J62" s="41">
        <f t="shared" si="24"/>
        <v>123230</v>
      </c>
      <c r="K62" s="13">
        <f t="shared" si="21"/>
        <v>1757212.8</v>
      </c>
      <c r="L62" s="13">
        <v>0</v>
      </c>
      <c r="M62" s="9"/>
    </row>
    <row r="63" spans="1:13" ht="15.75" thickBot="1" x14ac:dyDescent="0.3">
      <c r="A63" s="5" t="s">
        <v>47</v>
      </c>
      <c r="B63" s="62">
        <f>SUM(B52:B62)</f>
        <v>9375823</v>
      </c>
      <c r="C63" s="45">
        <f>SUM(C52:C62)</f>
        <v>37704350</v>
      </c>
      <c r="D63" s="74">
        <f>+B63-C63</f>
        <v>-28328527</v>
      </c>
      <c r="E63" s="63">
        <f>SUM(E52:E62)</f>
        <v>9833323</v>
      </c>
      <c r="F63" s="63">
        <f>SUM(F52:F62)</f>
        <v>38511294</v>
      </c>
      <c r="G63" s="74">
        <f>+E63-F63</f>
        <v>-28677971</v>
      </c>
      <c r="H63" s="63">
        <f>SUM(H52:H62)</f>
        <v>32460159</v>
      </c>
      <c r="I63" s="63">
        <f>SUM(I52:I62)</f>
        <v>28677960</v>
      </c>
      <c r="J63" s="74">
        <f>+H63-I63</f>
        <v>3782199</v>
      </c>
      <c r="K63" s="63">
        <f>SUM(K52:K62)</f>
        <v>32119315.199999999</v>
      </c>
      <c r="L63" s="63">
        <f>SUM(L52:L62)</f>
        <v>0</v>
      </c>
      <c r="M63" s="9"/>
    </row>
    <row r="64" spans="1:13" ht="15.75" thickTop="1" x14ac:dyDescent="0.25">
      <c r="A64" s="11" t="s">
        <v>38</v>
      </c>
      <c r="B64" s="48"/>
      <c r="C64" s="40"/>
      <c r="D64" s="70"/>
      <c r="E64" s="16"/>
      <c r="F64" s="16"/>
      <c r="G64" s="70"/>
      <c r="H64" s="16"/>
      <c r="I64" s="16"/>
      <c r="J64" s="70"/>
      <c r="K64" s="16"/>
      <c r="L64" s="16"/>
      <c r="M64" s="9"/>
    </row>
    <row r="65" spans="1:13" x14ac:dyDescent="0.25">
      <c r="A65" s="3" t="s">
        <v>16</v>
      </c>
      <c r="B65" s="23">
        <v>628763</v>
      </c>
      <c r="C65" s="10">
        <v>1267300</v>
      </c>
      <c r="D65" s="41">
        <f>+B65-C65</f>
        <v>-638537</v>
      </c>
      <c r="E65" s="13">
        <f t="shared" ref="E65:E73" si="25">+(B65*$L$84)+B65</f>
        <v>628763</v>
      </c>
      <c r="F65" s="13">
        <v>1061599.97</v>
      </c>
      <c r="G65" s="41">
        <f>+E65-F65</f>
        <v>-432836.97</v>
      </c>
      <c r="H65" s="13">
        <v>1207916</v>
      </c>
      <c r="I65" s="13">
        <v>690000</v>
      </c>
      <c r="J65" s="41">
        <f>+H65-I65</f>
        <v>517916</v>
      </c>
      <c r="K65" s="13">
        <f t="shared" ref="K65:K73" si="26">(+I65*$J$84)+I65</f>
        <v>772800</v>
      </c>
      <c r="L65" s="13">
        <v>0</v>
      </c>
      <c r="M65" s="9"/>
    </row>
    <row r="66" spans="1:13" x14ac:dyDescent="0.25">
      <c r="A66" s="3" t="s">
        <v>39</v>
      </c>
      <c r="B66" s="23">
        <v>299943</v>
      </c>
      <c r="C66" s="10">
        <v>403750</v>
      </c>
      <c r="D66" s="75">
        <f t="shared" ref="D66:D72" si="27">+B66-C66</f>
        <v>-103807</v>
      </c>
      <c r="E66" s="13">
        <f t="shared" si="25"/>
        <v>299943</v>
      </c>
      <c r="F66" s="13">
        <v>122000</v>
      </c>
      <c r="G66" s="75">
        <f t="shared" ref="G66:G67" si="28">+E66-F66</f>
        <v>177943</v>
      </c>
      <c r="H66" s="13">
        <v>138470</v>
      </c>
      <c r="I66" s="13">
        <v>74400</v>
      </c>
      <c r="J66" s="75">
        <f t="shared" ref="J66:J67" si="29">+H66-I66</f>
        <v>64070</v>
      </c>
      <c r="K66" s="13">
        <f t="shared" si="26"/>
        <v>83328</v>
      </c>
      <c r="L66" s="13">
        <v>0</v>
      </c>
      <c r="M66" s="9"/>
    </row>
    <row r="67" spans="1:13" x14ac:dyDescent="0.25">
      <c r="A67" s="3" t="s">
        <v>79</v>
      </c>
      <c r="B67" s="23">
        <f>189405*2</f>
        <v>378810</v>
      </c>
      <c r="C67" s="10">
        <v>1054000</v>
      </c>
      <c r="D67" s="75">
        <f t="shared" si="27"/>
        <v>-675190</v>
      </c>
      <c r="E67" s="13">
        <f t="shared" si="25"/>
        <v>378810</v>
      </c>
      <c r="F67" s="13">
        <f>560000+240000</f>
        <v>800000</v>
      </c>
      <c r="G67" s="75">
        <f t="shared" si="28"/>
        <v>-421190</v>
      </c>
      <c r="H67" s="13">
        <v>908000</v>
      </c>
      <c r="I67" s="13">
        <v>1320000</v>
      </c>
      <c r="J67" s="75">
        <f t="shared" si="29"/>
        <v>-412000</v>
      </c>
      <c r="K67" s="13">
        <f t="shared" si="26"/>
        <v>1478400</v>
      </c>
      <c r="L67" s="13">
        <v>0</v>
      </c>
      <c r="M67" s="9"/>
    </row>
    <row r="68" spans="1:13" x14ac:dyDescent="0.25">
      <c r="A68" s="3" t="s">
        <v>51</v>
      </c>
      <c r="B68" s="23">
        <v>506342</v>
      </c>
      <c r="C68" s="10">
        <v>1687205</v>
      </c>
      <c r="D68" s="75">
        <f>+B68-C68</f>
        <v>-1180863</v>
      </c>
      <c r="E68" s="13">
        <f t="shared" si="25"/>
        <v>506342</v>
      </c>
      <c r="F68" s="13">
        <v>1260279</v>
      </c>
      <c r="G68" s="75">
        <f>+E68-F68</f>
        <v>-753937</v>
      </c>
      <c r="H68" s="13">
        <v>1430417</v>
      </c>
      <c r="I68" s="13">
        <v>0</v>
      </c>
      <c r="J68" s="75">
        <f>+H68-I68</f>
        <v>1430417</v>
      </c>
      <c r="K68" s="13">
        <f t="shared" si="26"/>
        <v>0</v>
      </c>
      <c r="L68" s="13">
        <v>0</v>
      </c>
      <c r="M68" s="9"/>
    </row>
    <row r="69" spans="1:13" x14ac:dyDescent="0.25">
      <c r="A69" s="3" t="s">
        <v>59</v>
      </c>
      <c r="B69" s="23">
        <v>865467</v>
      </c>
      <c r="C69" s="10">
        <v>839650</v>
      </c>
      <c r="D69" s="75">
        <f t="shared" si="27"/>
        <v>25817</v>
      </c>
      <c r="E69" s="13">
        <f t="shared" si="25"/>
        <v>865467</v>
      </c>
      <c r="F69" s="13">
        <v>2069200</v>
      </c>
      <c r="G69" s="75">
        <f t="shared" ref="G69:G72" si="30">+E69-F69</f>
        <v>-1203733</v>
      </c>
      <c r="H69" s="13">
        <v>2348542</v>
      </c>
      <c r="I69" s="13">
        <f>1112000+480000</f>
        <v>1592000</v>
      </c>
      <c r="J69" s="75">
        <f t="shared" ref="J69:J72" si="31">+H69-I69</f>
        <v>756542</v>
      </c>
      <c r="K69" s="13">
        <f t="shared" si="26"/>
        <v>1783040</v>
      </c>
      <c r="L69" s="13">
        <v>0</v>
      </c>
      <c r="M69" s="9"/>
    </row>
    <row r="70" spans="1:13" x14ac:dyDescent="0.25">
      <c r="A70" s="3" t="s">
        <v>40</v>
      </c>
      <c r="B70" s="23">
        <v>188370</v>
      </c>
      <c r="C70" s="10">
        <v>183100</v>
      </c>
      <c r="D70" s="75">
        <f t="shared" si="27"/>
        <v>5270</v>
      </c>
      <c r="E70" s="13">
        <f t="shared" si="25"/>
        <v>188370</v>
      </c>
      <c r="F70" s="13">
        <v>152550</v>
      </c>
      <c r="G70" s="75">
        <f t="shared" si="30"/>
        <v>35820</v>
      </c>
      <c r="H70" s="13">
        <v>173144</v>
      </c>
      <c r="I70" s="13">
        <v>143500</v>
      </c>
      <c r="J70" s="75">
        <f t="shared" si="31"/>
        <v>29644</v>
      </c>
      <c r="K70" s="13">
        <f t="shared" si="26"/>
        <v>160720</v>
      </c>
      <c r="L70" s="13">
        <v>0</v>
      </c>
      <c r="M70" s="9"/>
    </row>
    <row r="71" spans="1:13" x14ac:dyDescent="0.25">
      <c r="A71" s="3" t="s">
        <v>56</v>
      </c>
      <c r="B71" s="23">
        <v>724604</v>
      </c>
      <c r="C71" s="10">
        <v>0</v>
      </c>
      <c r="D71" s="75">
        <f t="shared" si="27"/>
        <v>724604</v>
      </c>
      <c r="E71" s="13">
        <f t="shared" si="25"/>
        <v>724604</v>
      </c>
      <c r="F71" s="13">
        <v>0</v>
      </c>
      <c r="G71" s="75">
        <f t="shared" si="30"/>
        <v>724604</v>
      </c>
      <c r="H71" s="13">
        <v>900000</v>
      </c>
      <c r="I71" s="13">
        <v>0</v>
      </c>
      <c r="J71" s="75">
        <f t="shared" si="31"/>
        <v>900000</v>
      </c>
      <c r="K71" s="13">
        <f t="shared" si="26"/>
        <v>0</v>
      </c>
      <c r="L71" s="13">
        <v>0</v>
      </c>
      <c r="M71" s="9"/>
    </row>
    <row r="72" spans="1:13" x14ac:dyDescent="0.25">
      <c r="A72" s="3" t="s">
        <v>22</v>
      </c>
      <c r="B72" s="53">
        <v>4251468</v>
      </c>
      <c r="C72" s="40">
        <v>4368000</v>
      </c>
      <c r="D72" s="78">
        <f t="shared" si="27"/>
        <v>-116532</v>
      </c>
      <c r="E72" s="13">
        <f t="shared" si="25"/>
        <v>4251468</v>
      </c>
      <c r="F72" s="13">
        <v>3607875</v>
      </c>
      <c r="G72" s="78">
        <f t="shared" si="30"/>
        <v>643593</v>
      </c>
      <c r="H72" s="13">
        <v>4094938</v>
      </c>
      <c r="I72" s="13">
        <v>3790500</v>
      </c>
      <c r="J72" s="78">
        <f t="shared" si="31"/>
        <v>304438</v>
      </c>
      <c r="K72" s="13">
        <f t="shared" si="26"/>
        <v>4245360</v>
      </c>
      <c r="L72" s="13">
        <v>0</v>
      </c>
      <c r="M72" s="9"/>
    </row>
    <row r="73" spans="1:13" ht="15.75" thickBot="1" x14ac:dyDescent="0.3">
      <c r="A73" s="3" t="s">
        <v>18</v>
      </c>
      <c r="B73" s="37">
        <v>1042473</v>
      </c>
      <c r="C73" s="38">
        <v>1270040</v>
      </c>
      <c r="D73" s="79">
        <f>+B73-C73</f>
        <v>-227567</v>
      </c>
      <c r="E73" s="13">
        <f t="shared" si="25"/>
        <v>1042473</v>
      </c>
      <c r="F73" s="13">
        <v>934150</v>
      </c>
      <c r="G73" s="79">
        <f>+E73-F73</f>
        <v>108323</v>
      </c>
      <c r="H73" s="13">
        <v>1060260</v>
      </c>
      <c r="I73" s="13">
        <v>1297100</v>
      </c>
      <c r="J73" s="79">
        <f>+H73-I73</f>
        <v>-236840</v>
      </c>
      <c r="K73" s="13">
        <f t="shared" si="26"/>
        <v>1452752</v>
      </c>
      <c r="L73" s="13">
        <v>0</v>
      </c>
      <c r="M73" s="9"/>
    </row>
    <row r="74" spans="1:13" ht="15.75" thickBot="1" x14ac:dyDescent="0.3">
      <c r="A74" s="5" t="s">
        <v>48</v>
      </c>
      <c r="B74" s="62">
        <f>SUM(B65:B73)</f>
        <v>8886240</v>
      </c>
      <c r="C74" s="47">
        <f>SUM(C65:C73)</f>
        <v>11073045</v>
      </c>
      <c r="D74" s="80">
        <f>+B74-C74</f>
        <v>-2186805</v>
      </c>
      <c r="E74" s="63">
        <f>SUM(E65:E73)</f>
        <v>8886240</v>
      </c>
      <c r="F74" s="63">
        <f>SUM(F65:F73)</f>
        <v>10007653.969999999</v>
      </c>
      <c r="G74" s="80">
        <f>+E74-F74</f>
        <v>-1121413.9699999988</v>
      </c>
      <c r="H74" s="63">
        <f>SUM(H65:H73)</f>
        <v>12261687</v>
      </c>
      <c r="I74" s="63">
        <f>SUM(I65:I73)</f>
        <v>8907500</v>
      </c>
      <c r="J74" s="80">
        <f>+H74-I74</f>
        <v>3354187</v>
      </c>
      <c r="K74" s="63">
        <f>SUM(K65:K73)</f>
        <v>9976400</v>
      </c>
      <c r="L74" s="63">
        <f>SUM(L65:L73)</f>
        <v>0</v>
      </c>
      <c r="M74" s="9"/>
    </row>
    <row r="75" spans="1:13" ht="15.75" thickTop="1" x14ac:dyDescent="0.25">
      <c r="A75" s="2" t="s">
        <v>75</v>
      </c>
      <c r="B75" s="34"/>
      <c r="C75" s="27" t="s">
        <v>0</v>
      </c>
      <c r="D75" s="76"/>
      <c r="E75" s="17"/>
      <c r="F75" s="17"/>
      <c r="G75" s="76"/>
      <c r="H75" s="17"/>
      <c r="I75" s="17"/>
      <c r="J75" s="76"/>
      <c r="K75" s="17"/>
      <c r="L75" s="17"/>
      <c r="M75" s="9"/>
    </row>
    <row r="76" spans="1:13" ht="15.75" thickBot="1" x14ac:dyDescent="0.3">
      <c r="A76" s="3" t="s">
        <v>41</v>
      </c>
      <c r="B76" s="37">
        <v>884439</v>
      </c>
      <c r="C76" s="38">
        <v>1199760</v>
      </c>
      <c r="D76" s="79">
        <f>+B76-C76</f>
        <v>-315321</v>
      </c>
      <c r="E76" s="15">
        <v>884439</v>
      </c>
      <c r="F76" s="15">
        <v>851292</v>
      </c>
      <c r="G76" s="79">
        <f>+E76-F76</f>
        <v>33147</v>
      </c>
      <c r="H76" s="15"/>
      <c r="I76" s="15">
        <v>0</v>
      </c>
      <c r="J76" s="79">
        <f>+H76-I76</f>
        <v>0</v>
      </c>
      <c r="K76" s="15"/>
      <c r="L76" s="15">
        <v>0</v>
      </c>
      <c r="M76" s="9"/>
    </row>
    <row r="77" spans="1:13" ht="15.75" thickBot="1" x14ac:dyDescent="0.3">
      <c r="A77" s="5" t="s">
        <v>49</v>
      </c>
      <c r="B77" s="65">
        <f t="shared" ref="B77:G77" si="32">SUM(B76:B76)</f>
        <v>884439</v>
      </c>
      <c r="C77" s="47">
        <f t="shared" si="32"/>
        <v>1199760</v>
      </c>
      <c r="D77" s="80">
        <f t="shared" si="32"/>
        <v>-315321</v>
      </c>
      <c r="E77" s="64">
        <f t="shared" si="32"/>
        <v>884439</v>
      </c>
      <c r="F77" s="64">
        <f t="shared" si="32"/>
        <v>851292</v>
      </c>
      <c r="G77" s="80">
        <f t="shared" si="32"/>
        <v>33147</v>
      </c>
      <c r="H77" s="64"/>
      <c r="I77" s="64">
        <f>SUM(I76:I76)</f>
        <v>0</v>
      </c>
      <c r="J77" s="80">
        <f t="shared" ref="J77" si="33">SUM(J76:J76)</f>
        <v>0</v>
      </c>
      <c r="K77" s="64"/>
      <c r="L77" s="64">
        <f>SUM(L76:L76)</f>
        <v>0</v>
      </c>
      <c r="M77" s="9"/>
    </row>
    <row r="78" spans="1:13" ht="16.5" thickTop="1" thickBot="1" x14ac:dyDescent="0.3">
      <c r="A78" s="7" t="s">
        <v>19</v>
      </c>
      <c r="B78" s="44">
        <f>+B77+B74+B63+B50+B46+B40+B35+B32</f>
        <v>214410012</v>
      </c>
      <c r="C78" s="44">
        <f>+C77+C74+C63+C50+C46+C40+C35+C32</f>
        <v>242538473</v>
      </c>
      <c r="D78" s="81">
        <f>+D77+D74+D63+D46+D40+D35+D32</f>
        <v>-30159595</v>
      </c>
      <c r="E78" s="30">
        <f>+E77+E74+E63+E50+E46+E40+E35+E32</f>
        <v>216967912</v>
      </c>
      <c r="F78" s="30">
        <f>+F77+F74+F63+F46+F40+F35+F32</f>
        <v>264610166.31</v>
      </c>
      <c r="G78" s="81">
        <f>+G77+G74+G63+G46+G40+G35+G32</f>
        <v>-49282738.310000002</v>
      </c>
      <c r="H78" s="30"/>
      <c r="I78" s="30">
        <f>+I77+I74+I63+I46+I40+I35+I32+I50</f>
        <v>301496157</v>
      </c>
      <c r="J78" s="81">
        <f>+J77+J74+J63+J46+J40+J35+J32</f>
        <v>-2028091</v>
      </c>
      <c r="K78" s="30">
        <f>+K77+K74+K63+K46+K40+K35+K32</f>
        <v>333475695.83999997</v>
      </c>
      <c r="L78" s="30">
        <f>+L77+L74+L63+L46+L40+L35+L32</f>
        <v>0</v>
      </c>
      <c r="M78" s="9"/>
    </row>
    <row r="79" spans="1:13" ht="16.5" thickTop="1" thickBot="1" x14ac:dyDescent="0.3">
      <c r="A79" s="8" t="s">
        <v>50</v>
      </c>
      <c r="B79" s="47">
        <f>+B27-B78</f>
        <v>-18809740.650000006</v>
      </c>
      <c r="C79" s="47">
        <f>+C27-C78</f>
        <v>-27289565.829999983</v>
      </c>
      <c r="D79" s="80">
        <v>0</v>
      </c>
      <c r="E79" s="31">
        <f>+E27-E78</f>
        <v>69039636</v>
      </c>
      <c r="F79" s="31">
        <f>+F27-F78</f>
        <v>3003709.6899999976</v>
      </c>
      <c r="G79" s="80">
        <v>0</v>
      </c>
      <c r="H79" s="31"/>
      <c r="I79" s="31">
        <f>+I27-I78</f>
        <v>-22148743.420000017</v>
      </c>
      <c r="J79" s="80">
        <v>0</v>
      </c>
      <c r="K79" s="31">
        <f>+K27-K78</f>
        <v>6469197.4399999976</v>
      </c>
      <c r="L79" s="31">
        <f>+L27-L78</f>
        <v>0</v>
      </c>
      <c r="M79" s="9"/>
    </row>
    <row r="80" spans="1:13" ht="15.75" thickTop="1" x14ac:dyDescent="0.25">
      <c r="A80" s="12"/>
      <c r="B80" s="54"/>
      <c r="C80" s="55" t="s">
        <v>0</v>
      </c>
      <c r="D80" s="9"/>
      <c r="E80" s="9"/>
      <c r="F80" s="9"/>
      <c r="G80" s="9"/>
      <c r="H80" s="9"/>
      <c r="I80" s="9"/>
      <c r="J80" s="9"/>
      <c r="K80" s="9"/>
      <c r="L80" s="9"/>
    </row>
    <row r="81" spans="1:13" x14ac:dyDescent="0.25">
      <c r="A81" s="12"/>
      <c r="B81" s="54"/>
      <c r="C81" s="55"/>
      <c r="D81" s="9"/>
      <c r="E81" s="9"/>
      <c r="F81" s="9"/>
      <c r="G81" s="9"/>
      <c r="H81" s="9"/>
      <c r="I81" s="9" t="s">
        <v>0</v>
      </c>
      <c r="J81" s="9"/>
      <c r="K81" s="9"/>
      <c r="L81" s="9" t="s">
        <v>0</v>
      </c>
    </row>
    <row r="82" spans="1:13" x14ac:dyDescent="0.25">
      <c r="A82" s="1"/>
      <c r="E82" s="55"/>
      <c r="F82" s="56"/>
      <c r="G82" s="9"/>
      <c r="H82" s="9"/>
      <c r="I82" s="9"/>
      <c r="J82" s="97" t="s">
        <v>83</v>
      </c>
      <c r="K82" s="98"/>
      <c r="L82" s="9"/>
      <c r="M82" s="9"/>
    </row>
    <row r="83" spans="1:13" ht="30" customHeight="1" x14ac:dyDescent="0.25">
      <c r="A83" s="21" t="s">
        <v>62</v>
      </c>
      <c r="E83" s="57" t="s">
        <v>101</v>
      </c>
      <c r="F83" s="58" t="s">
        <v>102</v>
      </c>
      <c r="G83" s="82" t="s">
        <v>63</v>
      </c>
      <c r="H83" s="58" t="s">
        <v>103</v>
      </c>
      <c r="I83" s="9"/>
      <c r="J83" s="82" t="s">
        <v>106</v>
      </c>
      <c r="K83" s="82" t="s">
        <v>107</v>
      </c>
      <c r="L83" s="9"/>
      <c r="M83" s="9"/>
    </row>
    <row r="84" spans="1:13" ht="30" x14ac:dyDescent="0.25">
      <c r="A84" s="22" t="s">
        <v>84</v>
      </c>
      <c r="E84" s="23">
        <v>86500</v>
      </c>
      <c r="F84" s="23">
        <f>+(E84*G84)+E84</f>
        <v>96880</v>
      </c>
      <c r="G84" s="83">
        <f>+$J$84</f>
        <v>0.12</v>
      </c>
      <c r="H84" s="91">
        <v>95000</v>
      </c>
      <c r="I84" s="9"/>
      <c r="J84" s="83">
        <v>0.12</v>
      </c>
      <c r="K84" s="83">
        <v>9.2799999999999994E-2</v>
      </c>
      <c r="L84" s="9"/>
      <c r="M84" s="9"/>
    </row>
    <row r="85" spans="1:13" x14ac:dyDescent="0.25">
      <c r="A85" s="24" t="s">
        <v>104</v>
      </c>
      <c r="E85" s="23">
        <v>3000</v>
      </c>
      <c r="F85" s="23">
        <f t="shared" ref="F85:F87" si="34">+(E85*G85)+E85</f>
        <v>3360</v>
      </c>
      <c r="G85" s="83">
        <f t="shared" ref="G85:G87" si="35">+$J$84</f>
        <v>0.12</v>
      </c>
      <c r="H85" s="91"/>
      <c r="I85" s="9"/>
      <c r="J85" s="9"/>
      <c r="K85" s="9"/>
      <c r="L85" s="9"/>
      <c r="M85" s="9"/>
    </row>
    <row r="86" spans="1:13" x14ac:dyDescent="0.25">
      <c r="A86" s="24" t="s">
        <v>105</v>
      </c>
      <c r="E86" s="23">
        <v>1500</v>
      </c>
      <c r="F86" s="23">
        <f t="shared" si="34"/>
        <v>1680</v>
      </c>
      <c r="G86" s="83">
        <f t="shared" si="35"/>
        <v>0.12</v>
      </c>
      <c r="H86" s="91"/>
      <c r="I86" s="9"/>
      <c r="J86" s="9"/>
      <c r="K86" s="9"/>
      <c r="L86" s="9"/>
      <c r="M86" s="94"/>
    </row>
    <row r="87" spans="1:13" x14ac:dyDescent="0.25">
      <c r="A87" s="24" t="s">
        <v>64</v>
      </c>
      <c r="E87" s="23">
        <v>55000</v>
      </c>
      <c r="F87" s="23">
        <f t="shared" si="34"/>
        <v>61600</v>
      </c>
      <c r="G87" s="83">
        <f t="shared" si="35"/>
        <v>0.12</v>
      </c>
      <c r="H87" s="24"/>
      <c r="I87" s="9"/>
      <c r="J87" s="9"/>
      <c r="K87" s="9"/>
      <c r="L87" s="9"/>
    </row>
    <row r="88" spans="1:13" x14ac:dyDescent="0.25">
      <c r="A88" s="24" t="s">
        <v>65</v>
      </c>
      <c r="E88" s="23">
        <v>33500</v>
      </c>
      <c r="F88" s="23">
        <f t="shared" ref="F88:F96" si="36">+(E88*G88)+E88</f>
        <v>37520</v>
      </c>
      <c r="G88" s="83">
        <f t="shared" ref="G88:G96" si="37">+$J$84</f>
        <v>0.12</v>
      </c>
      <c r="H88" s="24"/>
      <c r="I88" s="9"/>
      <c r="J88" s="9"/>
      <c r="K88" s="9"/>
      <c r="L88" s="9"/>
    </row>
    <row r="89" spans="1:13" x14ac:dyDescent="0.25">
      <c r="A89" s="24" t="s">
        <v>93</v>
      </c>
      <c r="E89" s="23">
        <v>3500</v>
      </c>
      <c r="F89" s="23">
        <f t="shared" si="36"/>
        <v>3920</v>
      </c>
      <c r="G89" s="83">
        <f t="shared" si="37"/>
        <v>0.12</v>
      </c>
      <c r="H89" s="24"/>
      <c r="I89" s="9"/>
      <c r="J89"/>
      <c r="L89" s="9"/>
    </row>
    <row r="90" spans="1:13" x14ac:dyDescent="0.25">
      <c r="A90" s="24" t="s">
        <v>108</v>
      </c>
      <c r="E90" s="23">
        <v>117000</v>
      </c>
      <c r="F90" s="23">
        <f t="shared" si="36"/>
        <v>131040</v>
      </c>
      <c r="G90" s="83">
        <f t="shared" si="37"/>
        <v>0.12</v>
      </c>
      <c r="H90" s="24"/>
      <c r="J90"/>
    </row>
    <row r="91" spans="1:13" x14ac:dyDescent="0.25">
      <c r="A91" s="24" t="s">
        <v>24</v>
      </c>
      <c r="E91" s="23">
        <v>650</v>
      </c>
      <c r="F91" s="23">
        <f t="shared" si="36"/>
        <v>728</v>
      </c>
      <c r="G91" s="83">
        <f t="shared" si="37"/>
        <v>0.12</v>
      </c>
      <c r="H91" s="92"/>
      <c r="I91" s="66"/>
      <c r="J91"/>
      <c r="K91" s="66"/>
      <c r="L91" s="66"/>
    </row>
    <row r="92" spans="1:13" x14ac:dyDescent="0.25">
      <c r="A92" s="24" t="s">
        <v>26</v>
      </c>
      <c r="E92" s="23">
        <v>2500</v>
      </c>
      <c r="F92" s="23">
        <f t="shared" si="36"/>
        <v>2800</v>
      </c>
      <c r="G92" s="83">
        <f t="shared" si="37"/>
        <v>0.12</v>
      </c>
      <c r="H92" s="24"/>
      <c r="J92"/>
    </row>
    <row r="93" spans="1:13" x14ac:dyDescent="0.25">
      <c r="A93" s="24" t="s">
        <v>66</v>
      </c>
      <c r="E93" s="23">
        <v>42000</v>
      </c>
      <c r="F93" s="23">
        <f t="shared" si="36"/>
        <v>47040</v>
      </c>
      <c r="G93" s="83">
        <f t="shared" si="37"/>
        <v>0.12</v>
      </c>
      <c r="H93" s="24"/>
      <c r="J93"/>
    </row>
    <row r="94" spans="1:13" ht="72.75" x14ac:dyDescent="0.25">
      <c r="A94" s="25" t="s">
        <v>67</v>
      </c>
      <c r="E94" s="23">
        <v>169115</v>
      </c>
      <c r="F94" s="23">
        <f t="shared" si="36"/>
        <v>189408.8</v>
      </c>
      <c r="G94" s="83">
        <f t="shared" si="37"/>
        <v>0.12</v>
      </c>
      <c r="H94" s="93"/>
      <c r="I94" s="67"/>
      <c r="J94"/>
      <c r="K94" s="67"/>
      <c r="L94" s="67"/>
    </row>
    <row r="95" spans="1:13" x14ac:dyDescent="0.25">
      <c r="A95" s="24" t="s">
        <v>5</v>
      </c>
      <c r="E95" s="23">
        <v>1546891.5</v>
      </c>
      <c r="F95" s="23">
        <f t="shared" si="36"/>
        <v>1732518.48</v>
      </c>
      <c r="G95" s="83">
        <f t="shared" si="37"/>
        <v>0.12</v>
      </c>
      <c r="H95" s="23"/>
      <c r="I95" s="54"/>
      <c r="J95"/>
      <c r="K95" s="54"/>
      <c r="L95" s="54"/>
    </row>
    <row r="96" spans="1:13" x14ac:dyDescent="0.25">
      <c r="A96" s="24" t="s">
        <v>91</v>
      </c>
      <c r="E96" s="23">
        <v>638210.5</v>
      </c>
      <c r="F96" s="23">
        <f t="shared" si="36"/>
        <v>714795.76</v>
      </c>
      <c r="G96" s="83">
        <f t="shared" si="37"/>
        <v>0.12</v>
      </c>
      <c r="H96" s="23"/>
      <c r="I96" s="54"/>
      <c r="J96"/>
      <c r="K96" s="54"/>
      <c r="L96" s="54"/>
    </row>
    <row r="97" spans="1:12" x14ac:dyDescent="0.25">
      <c r="A97" s="12"/>
      <c r="B97" s="54"/>
      <c r="C97" s="55"/>
      <c r="D97" s="54"/>
      <c r="E97" s="54"/>
      <c r="F97" s="54"/>
      <c r="G97" s="54"/>
      <c r="H97" s="54"/>
      <c r="I97" s="54"/>
      <c r="J97"/>
      <c r="K97" s="54"/>
      <c r="L97" s="54"/>
    </row>
    <row r="98" spans="1:12" x14ac:dyDescent="0.25">
      <c r="A98" s="12"/>
      <c r="B98" s="54"/>
      <c r="C98" s="55"/>
      <c r="D98" s="54"/>
      <c r="E98" s="54"/>
      <c r="F98" s="54"/>
      <c r="G98" s="54"/>
      <c r="H98" s="54"/>
      <c r="I98" s="54"/>
      <c r="J98" s="54"/>
      <c r="K98" s="54"/>
      <c r="L98" s="54"/>
    </row>
    <row r="99" spans="1:12" x14ac:dyDescent="0.25">
      <c r="A99" s="12"/>
      <c r="B99" s="54"/>
      <c r="C99" s="55"/>
      <c r="D99" s="54"/>
      <c r="E99" s="54"/>
      <c r="F99" s="54"/>
      <c r="G99" s="54"/>
      <c r="H99" s="54"/>
      <c r="I99" s="54"/>
      <c r="J99" s="54"/>
      <c r="K99" s="54"/>
      <c r="L99" s="54"/>
    </row>
    <row r="100" spans="1:12" x14ac:dyDescent="0.25">
      <c r="A100" s="1"/>
      <c r="B100" s="54"/>
      <c r="C100" s="60"/>
      <c r="D100" s="54"/>
      <c r="E100" s="54"/>
      <c r="F100" s="54"/>
      <c r="G100" s="54"/>
      <c r="H100" s="54"/>
      <c r="I100" s="54"/>
      <c r="J100" s="54"/>
      <c r="K100" s="54"/>
      <c r="L100" s="54"/>
    </row>
    <row r="101" spans="1:12" x14ac:dyDescent="0.25">
      <c r="A101" s="1" t="s">
        <v>81</v>
      </c>
      <c r="B101" s="54"/>
      <c r="C101" s="60"/>
      <c r="D101" s="54"/>
      <c r="E101" s="54"/>
      <c r="F101" s="54"/>
      <c r="G101" s="54"/>
      <c r="H101" s="54"/>
      <c r="I101" s="54"/>
      <c r="J101" s="54"/>
      <c r="K101" s="54"/>
      <c r="L101" s="54"/>
    </row>
    <row r="102" spans="1:12" x14ac:dyDescent="0.25">
      <c r="A102" s="1" t="s">
        <v>82</v>
      </c>
      <c r="B102" s="54"/>
      <c r="C102" s="60"/>
      <c r="D102" s="54"/>
      <c r="E102" s="54"/>
      <c r="F102" s="54"/>
      <c r="G102" s="54"/>
      <c r="H102" s="54"/>
      <c r="I102" s="54"/>
      <c r="J102" s="54"/>
      <c r="K102" s="54"/>
      <c r="L102" s="54"/>
    </row>
    <row r="103" spans="1:12" x14ac:dyDescent="0.25">
      <c r="A103" s="1"/>
      <c r="B103" s="54"/>
      <c r="C103" s="60"/>
      <c r="D103" s="54"/>
      <c r="E103" s="54"/>
      <c r="F103" s="54"/>
      <c r="G103" s="54"/>
      <c r="H103" s="54"/>
      <c r="I103" s="54"/>
      <c r="J103" s="54"/>
      <c r="K103" s="54"/>
      <c r="L103" s="54"/>
    </row>
    <row r="104" spans="1:12" x14ac:dyDescent="0.25">
      <c r="A104" s="1"/>
      <c r="B104" s="54"/>
      <c r="C104" s="60"/>
      <c r="D104" s="54"/>
      <c r="E104" s="54"/>
      <c r="F104" s="54"/>
      <c r="G104" s="54"/>
      <c r="H104" s="54"/>
      <c r="I104" s="54"/>
      <c r="J104" s="54"/>
      <c r="K104" s="54"/>
      <c r="L104" s="54"/>
    </row>
    <row r="105" spans="1:12" x14ac:dyDescent="0.25">
      <c r="A105" s="1"/>
      <c r="B105" s="56"/>
      <c r="C105" s="54"/>
      <c r="D105" s="54"/>
      <c r="E105" s="54"/>
      <c r="F105" s="54"/>
      <c r="G105" s="54"/>
      <c r="H105" s="54"/>
      <c r="I105" s="54"/>
      <c r="J105" s="54"/>
      <c r="K105" s="54"/>
      <c r="L105" s="54"/>
    </row>
    <row r="106" spans="1:12" x14ac:dyDescent="0.25">
      <c r="A106" s="1"/>
      <c r="B106" s="56"/>
      <c r="C106" s="54"/>
      <c r="D106" s="54"/>
      <c r="G106" s="54"/>
      <c r="J106" s="54"/>
    </row>
    <row r="107" spans="1:12" x14ac:dyDescent="0.25">
      <c r="A107" s="1"/>
      <c r="B107" s="56"/>
      <c r="C107" s="54"/>
      <c r="D107" s="54"/>
      <c r="G107" s="54"/>
      <c r="J107" s="54"/>
    </row>
    <row r="108" spans="1:12" x14ac:dyDescent="0.25">
      <c r="A108" s="1"/>
      <c r="B108" s="56"/>
      <c r="C108" s="54"/>
      <c r="D108" s="54"/>
      <c r="G108" s="54"/>
      <c r="J108" s="54"/>
    </row>
    <row r="109" spans="1:12" x14ac:dyDescent="0.25">
      <c r="A109" s="1"/>
      <c r="B109" s="56"/>
      <c r="C109" s="54"/>
      <c r="D109" s="54"/>
      <c r="G109" s="54"/>
      <c r="J109" s="54"/>
    </row>
    <row r="110" spans="1:12" x14ac:dyDescent="0.25">
      <c r="A110" s="1"/>
      <c r="B110" s="56"/>
      <c r="C110" s="54"/>
      <c r="D110" s="54"/>
      <c r="G110" s="54"/>
      <c r="J110" s="54"/>
    </row>
    <row r="111" spans="1:12" x14ac:dyDescent="0.25">
      <c r="A111" s="1"/>
      <c r="B111" s="56"/>
      <c r="C111" s="54"/>
      <c r="D111" s="54"/>
      <c r="G111" s="54"/>
      <c r="J111" s="54"/>
    </row>
    <row r="112" spans="1:12" x14ac:dyDescent="0.25">
      <c r="A112" s="1"/>
      <c r="B112" s="56"/>
      <c r="C112" s="54"/>
      <c r="D112" s="54"/>
      <c r="G112" s="54"/>
      <c r="J112" s="54"/>
    </row>
  </sheetData>
  <mergeCells count="4">
    <mergeCell ref="J82:K82"/>
    <mergeCell ref="A1:J1"/>
    <mergeCell ref="A2:J2"/>
    <mergeCell ref="A3:J3"/>
  </mergeCells>
  <conditionalFormatting sqref="D5:D81 G5:G96 D106:D1048576">
    <cfRule type="cellIs" dxfId="9" priority="11" operator="greaterThan">
      <formula>0</formula>
    </cfRule>
    <cfRule type="cellIs" dxfId="8" priority="12" operator="lessThan">
      <formula>0</formula>
    </cfRule>
  </conditionalFormatting>
  <conditionalFormatting sqref="G106:G1048576">
    <cfRule type="cellIs" dxfId="7" priority="9" operator="greaterThan">
      <formula>0</formula>
    </cfRule>
    <cfRule type="cellIs" dxfId="6" priority="10" operator="lessThan">
      <formula>0</formula>
    </cfRule>
  </conditionalFormatting>
  <conditionalFormatting sqref="J5:J81">
    <cfRule type="cellIs" dxfId="5" priority="7" operator="greaterThan">
      <formula>0</formula>
    </cfRule>
    <cfRule type="cellIs" dxfId="4" priority="8" operator="lessThan">
      <formula>0</formula>
    </cfRule>
  </conditionalFormatting>
  <conditionalFormatting sqref="J106:J1048576">
    <cfRule type="cellIs" dxfId="3" priority="5" operator="greaterThan">
      <formula>0</formula>
    </cfRule>
    <cfRule type="cellIs" dxfId="2" priority="6" operator="lessThan">
      <formula>0</formula>
    </cfRule>
  </conditionalFormatting>
  <conditionalFormatting sqref="J83:K86">
    <cfRule type="cellIs" dxfId="1" priority="3" operator="greaterThan">
      <formula>0</formula>
    </cfRule>
    <cfRule type="cellIs" dxfId="0" priority="4" operator="lessThan">
      <formula>0</formula>
    </cfRule>
  </conditionalFormatting>
  <pageMargins left="0.78740157480314965" right="0" top="0.35433070866141736" bottom="0.74803149606299213" header="0.31496062992125984" footer="0.31496062992125984"/>
  <pageSetup paperSize="5" scale="80" orientation="portrait" horizontalDpi="4294967293" verticalDpi="144" r:id="rId1"/>
  <ignoredErrors>
    <ignoredError sqref="D10 D74:D75 D76:D79" formula="1"/>
    <ignoredError sqref="C7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21" sqref="C21"/>
    </sheetView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d33de79-ef21-4c74-b611-913686a4f89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EA8479CA5B2248A15A704EE3981BB9" ma:contentTypeVersion="14" ma:contentTypeDescription="Create a new document." ma:contentTypeScope="" ma:versionID="333921db17626de2c1452e162576ac09">
  <xsd:schema xmlns:xsd="http://www.w3.org/2001/XMLSchema" xmlns:xs="http://www.w3.org/2001/XMLSchema" xmlns:p="http://schemas.microsoft.com/office/2006/metadata/properties" xmlns:ns3="381a8baa-aa05-44c8-9dff-576d56a29064" xmlns:ns4="fd33de79-ef21-4c74-b611-913686a4f89b" targetNamespace="http://schemas.microsoft.com/office/2006/metadata/properties" ma:root="true" ma:fieldsID="899981a5063e9db243d1f88bcf3528b9" ns3:_="" ns4:_="">
    <xsd:import namespace="381a8baa-aa05-44c8-9dff-576d56a29064"/>
    <xsd:import namespace="fd33de79-ef21-4c74-b611-913686a4f89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LengthInSeconds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1a8baa-aa05-44c8-9dff-576d56a2906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33de79-ef21-4c74-b611-913686a4f8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8B8611-73AF-483F-81ED-06801FB590F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381a8baa-aa05-44c8-9dff-576d56a29064"/>
    <ds:schemaRef ds:uri="http://schemas.microsoft.com/office/2006/metadata/properties"/>
    <ds:schemaRef ds:uri="http://schemas.microsoft.com/office/infopath/2007/PartnerControls"/>
    <ds:schemaRef ds:uri="fd33de79-ef21-4c74-b611-913686a4f89b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DB228BC-8466-460F-B7CF-3361FF6E21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1a8baa-aa05-44c8-9dff-576d56a29064"/>
    <ds:schemaRef ds:uri="fd33de79-ef21-4c74-b611-913686a4f8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4566BB1-5632-4069-8FCF-04B4C4CEB6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EJECUCION PRESUPUESTO</vt:lpstr>
      <vt:lpstr>Hoja1</vt:lpstr>
      <vt:lpstr>'EJECUCION PRESUPUESTO'!Títulos_a_imprimir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Mireya Perez</dc:creator>
  <cp:lastModifiedBy>Carlos Ospina</cp:lastModifiedBy>
  <cp:lastPrinted>2023-03-09T22:43:53Z</cp:lastPrinted>
  <dcterms:created xsi:type="dcterms:W3CDTF">2014-07-24T07:06:16Z</dcterms:created>
  <dcterms:modified xsi:type="dcterms:W3CDTF">2024-02-14T23:05:33Z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0x0101006AEA8479CA5B2248A15A704EE3981BB9</vt:lpwstr>
  </property>
</Properties>
</file>